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J:\0_Emission Inventory\2025_Inventory\5_Summary_Files\"/>
    </mc:Choice>
  </mc:AlternateContent>
  <xr:revisionPtr revIDLastSave="0" documentId="8_{9FC6A406-E112-4747-B30B-A484AED4CD39}" xr6:coauthVersionLast="47" xr6:coauthVersionMax="47" xr10:uidLastSave="{00000000-0000-0000-0000-000000000000}"/>
  <bookViews>
    <workbookView xWindow="-120" yWindow="-120" windowWidth="29040" windowHeight="15720" xr2:uid="{90BAF4D8-0FCF-447D-8240-82E8C8FD38E9}"/>
  </bookViews>
  <sheets>
    <sheet name="Upplýsingar | Information" sheetId="2" r:id="rId1"/>
    <sheet name="Skuldbindingar | Obligations" sheetId="6" r:id="rId2"/>
    <sheet name="Losun | Emissions" sheetId="3" r:id="rId3"/>
    <sheet name="Talnagögn | Numerical Data" sheetId="5" r:id="rId4"/>
  </sheets>
  <definedNames>
    <definedName name="°B1">'Talnagögn | Numerical Data'!$E$121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8" i="6" l="1" a="1"/>
  <c r="AC258" i="6" s="1"/>
  <c r="AB258" i="6" a="1"/>
  <c r="AB258" i="6" s="1"/>
  <c r="AA258" i="6" a="1"/>
  <c r="AA258" i="6" s="1"/>
  <c r="Z258" i="6" a="1"/>
  <c r="Z258" i="6" s="1"/>
  <c r="X258" i="6" a="1"/>
  <c r="X258" i="6" s="1"/>
  <c r="AC257" i="6"/>
  <c r="AC257" i="6" a="1"/>
  <c r="AB257" i="6" a="1"/>
  <c r="AB257" i="6" s="1"/>
  <c r="AA257" i="6"/>
  <c r="AA257" i="6" a="1"/>
  <c r="Z257" i="6" a="1"/>
  <c r="Z257" i="6" s="1"/>
  <c r="Y257" i="6"/>
  <c r="X257" i="6" a="1"/>
  <c r="X257" i="6" s="1"/>
  <c r="AC256" i="6" a="1"/>
  <c r="AC256" i="6" s="1"/>
  <c r="AB256" i="6"/>
  <c r="AB256" i="6" a="1"/>
  <c r="AA256" i="6" a="1"/>
  <c r="AA256" i="6" s="1"/>
  <c r="Z256" i="6" a="1"/>
  <c r="Z256" i="6" s="1"/>
  <c r="Y256" i="6"/>
  <c r="X256" i="6"/>
  <c r="X256" i="6" a="1"/>
  <c r="AC255" i="6" a="1"/>
  <c r="AC255" i="6" s="1"/>
  <c r="AB255" i="6"/>
  <c r="AB255" i="6" a="1"/>
  <c r="AA255" i="6" a="1"/>
  <c r="AA255" i="6" s="1"/>
  <c r="Z255" i="6"/>
  <c r="Z255" i="6" a="1"/>
  <c r="Y255" i="6"/>
  <c r="X255" i="6" a="1"/>
  <c r="X255" i="6" s="1"/>
  <c r="AC254" i="6" a="1"/>
  <c r="AC254" i="6" s="1"/>
  <c r="AB254" i="6" a="1"/>
  <c r="AB254" i="6" s="1"/>
  <c r="AA254" i="6"/>
  <c r="AA254" i="6" a="1"/>
  <c r="Z254" i="6" a="1"/>
  <c r="Z254" i="6" s="1"/>
  <c r="Y254" i="6"/>
  <c r="X254" i="6" a="1"/>
  <c r="X254" i="6" s="1"/>
  <c r="AC253" i="6"/>
  <c r="AC253" i="6" a="1"/>
  <c r="AB253" i="6" a="1"/>
  <c r="AB253" i="6" s="1"/>
  <c r="AA253" i="6"/>
  <c r="AA253" i="6" a="1"/>
  <c r="Z253" i="6" a="1"/>
  <c r="Z253" i="6" s="1"/>
  <c r="Y253" i="6"/>
  <c r="Y258" i="6" s="1"/>
  <c r="X253" i="6"/>
  <c r="X253" i="6" a="1"/>
  <c r="G254" i="6" l="1" a="1"/>
  <c r="G254" i="6" s="1"/>
  <c r="H254" i="6" a="1"/>
  <c r="H254" i="6" s="1"/>
  <c r="I254" i="6" a="1"/>
  <c r="I254" i="6"/>
  <c r="J254" i="6" a="1"/>
  <c r="J254" i="6"/>
  <c r="G255" i="6" a="1"/>
  <c r="G255" i="6" s="1"/>
  <c r="H255" i="6" a="1"/>
  <c r="H255" i="6" s="1"/>
  <c r="I255" i="6" a="1"/>
  <c r="I255" i="6"/>
  <c r="J255" i="6" a="1"/>
  <c r="J255" i="6"/>
  <c r="G256" i="6" a="1"/>
  <c r="G256" i="6" s="1"/>
  <c r="H256" i="6" a="1"/>
  <c r="H256" i="6" s="1"/>
  <c r="I256" i="6" a="1"/>
  <c r="I256" i="6"/>
  <c r="J256" i="6" a="1"/>
  <c r="J256" i="6" s="1"/>
  <c r="G257" i="6" a="1"/>
  <c r="G257" i="6" s="1"/>
  <c r="H257" i="6" a="1"/>
  <c r="H257" i="6" s="1"/>
  <c r="I257" i="6" a="1"/>
  <c r="I257" i="6" s="1"/>
  <c r="J257" i="6" a="1"/>
  <c r="J257" i="6" s="1"/>
  <c r="G258" i="6" a="1"/>
  <c r="G258" i="6" s="1"/>
  <c r="H258" i="6" a="1"/>
  <c r="H258" i="6" s="1"/>
  <c r="I258" i="6" a="1"/>
  <c r="I258" i="6" s="1"/>
  <c r="J258" i="6" a="1"/>
  <c r="J258" i="6"/>
  <c r="J253" i="6" a="1"/>
  <c r="J253" i="6" s="1"/>
  <c r="I253" i="6" a="1"/>
  <c r="I253" i="6" s="1"/>
  <c r="H253" i="6" a="1"/>
  <c r="H253" i="6" s="1"/>
  <c r="G253" i="6" a="1"/>
  <c r="G253" i="6" s="1"/>
  <c r="J125" i="5"/>
  <c r="N263" i="3" l="1" a="1"/>
  <c r="N263" i="3" s="1"/>
  <c r="AG263" i="3" a="1"/>
  <c r="AG263" i="3" s="1"/>
  <c r="AL263" i="3" a="1"/>
  <c r="AL263" i="3" s="1"/>
  <c r="P263" i="3" a="1"/>
  <c r="P263" i="3" s="1"/>
  <c r="J263" i="3" a="1"/>
  <c r="J263" i="3" s="1"/>
  <c r="AR263" i="3" a="1"/>
  <c r="AR263" i="3" s="1"/>
  <c r="E263" i="3" a="1"/>
  <c r="E263" i="3" s="1"/>
  <c r="AP263" i="3" a="1"/>
  <c r="AP263" i="3" s="1"/>
  <c r="AO263" i="3" a="1"/>
  <c r="AO263" i="3" s="1"/>
  <c r="M263" i="3" a="1"/>
  <c r="M263" i="3" s="1"/>
  <c r="AM263" i="3" a="1"/>
  <c r="AM263" i="3" s="1"/>
  <c r="K263" i="3" a="1"/>
  <c r="K263" i="3" s="1"/>
  <c r="D185" i="5" l="1"/>
  <c r="AR536" i="3" l="1" a="1"/>
  <c r="AR536" i="3" s="1"/>
  <c r="E5" i="6"/>
  <c r="Z178" i="5"/>
  <c r="H178" i="5"/>
  <c r="Y178" i="5"/>
  <c r="O178" i="5"/>
  <c r="X178" i="5"/>
  <c r="N178" i="5"/>
  <c r="K178" i="5"/>
  <c r="Q178" i="5"/>
  <c r="J178" i="5"/>
  <c r="R178" i="5"/>
  <c r="W178" i="5"/>
  <c r="S178" i="5"/>
  <c r="U178" i="5"/>
  <c r="V178" i="5"/>
  <c r="M178" i="5"/>
  <c r="I178" i="5"/>
  <c r="P178" i="5"/>
  <c r="L178" i="5"/>
  <c r="T178" i="5"/>
  <c r="O175" i="5"/>
  <c r="N176" i="5"/>
  <c r="L176" i="5"/>
  <c r="H176" i="5"/>
  <c r="I175" i="5"/>
  <c r="H175" i="5"/>
  <c r="K175" i="5"/>
  <c r="X175" i="5"/>
  <c r="M176" i="5"/>
  <c r="T175" i="5"/>
  <c r="Y175" i="5"/>
  <c r="K176" i="5"/>
  <c r="W175" i="5"/>
  <c r="V175" i="5"/>
  <c r="J175" i="5"/>
  <c r="U175" i="5"/>
  <c r="Q175" i="5"/>
  <c r="R175" i="5"/>
  <c r="P175" i="5"/>
  <c r="J176" i="5"/>
  <c r="O176" i="5"/>
  <c r="T176" i="5"/>
  <c r="I176" i="5"/>
  <c r="L175" i="5"/>
  <c r="N175" i="5"/>
  <c r="Y176" i="5"/>
  <c r="X176" i="5"/>
  <c r="M175" i="5"/>
  <c r="S175" i="5"/>
  <c r="W176" i="5"/>
  <c r="V176" i="5"/>
  <c r="U176" i="5"/>
  <c r="S176" i="5"/>
  <c r="R176" i="5"/>
  <c r="Q176" i="5"/>
  <c r="P176" i="5"/>
  <c r="X174" i="5"/>
  <c r="W174" i="5"/>
  <c r="V174" i="5"/>
  <c r="T174" i="5"/>
  <c r="O174" i="5"/>
  <c r="L174" i="5"/>
  <c r="J174" i="5"/>
  <c r="K174" i="5"/>
  <c r="N174" i="5"/>
  <c r="M174" i="5"/>
  <c r="I174" i="5"/>
  <c r="Y174" i="5"/>
  <c r="S174" i="5"/>
  <c r="Q174" i="5"/>
  <c r="U174" i="5"/>
  <c r="H174" i="5"/>
  <c r="R174" i="5"/>
  <c r="P174" i="5"/>
  <c r="AO11" i="5"/>
  <c r="H50" i="5" l="1"/>
  <c r="H21" i="5"/>
  <c r="E258" i="6" a="1"/>
  <c r="E258" i="6" s="1"/>
  <c r="Q173" i="5"/>
  <c r="L173" i="5"/>
  <c r="R173" i="5"/>
  <c r="J173" i="5"/>
  <c r="U173" i="5"/>
  <c r="Y173" i="5"/>
  <c r="T173" i="5"/>
  <c r="H173" i="5"/>
  <c r="N173" i="5"/>
  <c r="S173" i="5"/>
  <c r="H97" i="5"/>
  <c r="O173" i="5"/>
  <c r="P173" i="5"/>
  <c r="W173" i="5"/>
  <c r="M173" i="5"/>
  <c r="V173" i="5"/>
  <c r="K173" i="5"/>
  <c r="I173" i="5"/>
  <c r="X173" i="5"/>
  <c r="Z173" i="5"/>
  <c r="E253" i="6" a="1"/>
  <c r="E253" i="6" s="1"/>
  <c r="Z176" i="5"/>
  <c r="E256" i="6" a="1"/>
  <c r="E256" i="6" s="1"/>
  <c r="E254" i="6" a="1"/>
  <c r="E254" i="6" s="1"/>
  <c r="Z174" i="5"/>
  <c r="E255" i="6" a="1"/>
  <c r="E255" i="6" s="1"/>
  <c r="Z175" i="5"/>
  <c r="AR474" i="3" a="1"/>
  <c r="AR474" i="3" s="1"/>
  <c r="AR472" i="3" a="1"/>
  <c r="AR472" i="3" s="1"/>
  <c r="AR403" i="3" a="1"/>
  <c r="AR403" i="3" s="1"/>
  <c r="AP535" i="3" a="1"/>
  <c r="AP535" i="3" s="1"/>
  <c r="AO470" i="3" a="1"/>
  <c r="AO470" i="3" s="1"/>
  <c r="AR471" i="3" a="1"/>
  <c r="AR471" i="3" s="1"/>
  <c r="AO538" i="3" a="1"/>
  <c r="AO538" i="3" s="1"/>
  <c r="AM536" i="3" a="1"/>
  <c r="AM536" i="3" s="1"/>
  <c r="AO471" i="3" a="1"/>
  <c r="AO471" i="3" s="1"/>
  <c r="AR469" i="3" a="1"/>
  <c r="AR469" i="3" s="1"/>
  <c r="AR535" i="3" a="1"/>
  <c r="AR535" i="3" s="1"/>
  <c r="AO536" i="3" a="1"/>
  <c r="AO536" i="3" s="1"/>
  <c r="AM537" i="3" a="1"/>
  <c r="AM537" i="3" s="1"/>
  <c r="AG538" i="3" a="1"/>
  <c r="AG538" i="3" s="1"/>
  <c r="AP538" i="3" a="1"/>
  <c r="AP538" i="3" s="1"/>
  <c r="AO472" i="3" a="1"/>
  <c r="AO472" i="3" s="1"/>
  <c r="AR470" i="3" a="1"/>
  <c r="AR470" i="3" s="1"/>
  <c r="AP536" i="3" a="1"/>
  <c r="AP536" i="3" s="1"/>
  <c r="AR538" i="3" a="1"/>
  <c r="AR538" i="3" s="1"/>
  <c r="AM539" i="3" a="1"/>
  <c r="AM539" i="3" s="1"/>
  <c r="AG536" i="3" a="1"/>
  <c r="AG536" i="3" s="1"/>
  <c r="AO537" i="3" a="1"/>
  <c r="AO537" i="3" s="1"/>
  <c r="AG539" i="3" a="1"/>
  <c r="AG539" i="3" s="1"/>
  <c r="AO539" i="3" a="1"/>
  <c r="AO539" i="3" s="1"/>
  <c r="AO474" i="3" a="1"/>
  <c r="AO474" i="3" s="1"/>
  <c r="AM535" i="3" a="1"/>
  <c r="AM535" i="3" s="1"/>
  <c r="AG537" i="3" a="1"/>
  <c r="AG537" i="3" s="1"/>
  <c r="AP537" i="3" a="1"/>
  <c r="AP537" i="3" s="1"/>
  <c r="AP539" i="3" a="1"/>
  <c r="AP539" i="3" s="1"/>
  <c r="AM474" i="3" a="1"/>
  <c r="AM474" i="3" s="1"/>
  <c r="AO535" i="3" a="1"/>
  <c r="AO535" i="3" s="1"/>
  <c r="AM538" i="3" a="1"/>
  <c r="AM538" i="3" s="1"/>
  <c r="AP403" i="3" a="1"/>
  <c r="AP403" i="3" s="1"/>
  <c r="AO469" i="3" a="1"/>
  <c r="AO469" i="3" s="1"/>
  <c r="AG535" i="3" a="1"/>
  <c r="AG535" i="3" s="1"/>
  <c r="AR537" i="3" a="1"/>
  <c r="AR537" i="3" s="1"/>
  <c r="AR539" i="3" a="1"/>
  <c r="AR539" i="3" s="1"/>
  <c r="X183" i="6" l="1" a="1"/>
  <c r="X183" i="6" s="1"/>
  <c r="AB191" i="6" a="1"/>
  <c r="AB191" i="6" s="1"/>
  <c r="AC191" i="6" l="1" a="1"/>
  <c r="AC191" i="6" s="1"/>
  <c r="J191" i="6" a="1"/>
  <c r="J191" i="6" s="1"/>
  <c r="I190" i="6" a="1"/>
  <c r="I190" i="6" s="1"/>
  <c r="I191" i="6" a="1"/>
  <c r="I191" i="6" s="1"/>
  <c r="E190" i="6" a="1"/>
  <c r="E190" i="6" s="1"/>
  <c r="X190" i="6" a="1"/>
  <c r="X190" i="6" s="1"/>
  <c r="AC190" i="6" a="1"/>
  <c r="AC190" i="6" s="1"/>
  <c r="J190" i="6" a="1"/>
  <c r="J190" i="6" s="1"/>
  <c r="AB190" i="6" a="1"/>
  <c r="AB190" i="6" s="1"/>
  <c r="E183" i="6" a="1"/>
  <c r="E183" i="6" s="1"/>
  <c r="Y183" i="6" l="1"/>
  <c r="D172" i="5" l="1"/>
  <c r="I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H125" i="5"/>
  <c r="AB84" i="6" l="1" a="1"/>
  <c r="AB84" i="6" s="1"/>
  <c r="X84" i="6" a="1"/>
  <c r="X84" i="6" s="1"/>
  <c r="AC84" i="6" a="1"/>
  <c r="AC84" i="6" s="1"/>
  <c r="AB82" i="6" a="1"/>
  <c r="AB82" i="6" s="1"/>
  <c r="X82" i="6" a="1"/>
  <c r="X82" i="6" s="1"/>
  <c r="AC82" i="6" a="1"/>
  <c r="AC82" i="6" s="1"/>
  <c r="AB322" i="6" a="1"/>
  <c r="AB322" i="6" s="1"/>
  <c r="X322" i="6" a="1"/>
  <c r="X322" i="6" s="1"/>
  <c r="I322" i="6" a="1"/>
  <c r="I322" i="6" s="1"/>
  <c r="J322" i="6" a="1"/>
  <c r="J322" i="6" s="1"/>
  <c r="AC322" i="6" a="1"/>
  <c r="AC322" i="6" s="1"/>
  <c r="E322" i="6" a="1"/>
  <c r="E322" i="6" s="1"/>
  <c r="AC321" i="6" a="1"/>
  <c r="AC321" i="6" s="1"/>
  <c r="E321" i="6" a="1"/>
  <c r="E321" i="6" s="1"/>
  <c r="I321" i="6" a="1"/>
  <c r="I321" i="6" s="1"/>
  <c r="J321" i="6" a="1"/>
  <c r="J321" i="6" s="1"/>
  <c r="AB321" i="6" a="1"/>
  <c r="AB321" i="6" s="1"/>
  <c r="X321" i="6" a="1"/>
  <c r="X321" i="6" s="1"/>
  <c r="AC85" i="6" a="1"/>
  <c r="AC85" i="6" s="1"/>
  <c r="AB85" i="6" a="1"/>
  <c r="AB85" i="6" s="1"/>
  <c r="X85" i="6" a="1"/>
  <c r="X85" i="6" s="1"/>
  <c r="AB83" i="6" a="1"/>
  <c r="AB83" i="6" s="1"/>
  <c r="X83" i="6" a="1"/>
  <c r="X83" i="6" s="1"/>
  <c r="AC83" i="6" a="1"/>
  <c r="AC83" i="6" s="1"/>
  <c r="AC319" i="6" a="1"/>
  <c r="AC319" i="6" s="1"/>
  <c r="E319" i="6" a="1"/>
  <c r="E319" i="6" s="1"/>
  <c r="AB319" i="6" a="1"/>
  <c r="AB319" i="6" s="1"/>
  <c r="J319" i="6" a="1"/>
  <c r="J319" i="6" s="1"/>
  <c r="X319" i="6" a="1"/>
  <c r="X319" i="6" s="1"/>
  <c r="I319" i="6" a="1"/>
  <c r="I319" i="6" s="1"/>
  <c r="J320" i="6" a="1"/>
  <c r="J320" i="6" s="1"/>
  <c r="AC320" i="6" a="1"/>
  <c r="AC320" i="6" s="1"/>
  <c r="E320" i="6" a="1"/>
  <c r="E320" i="6" s="1"/>
  <c r="I320" i="6" a="1"/>
  <c r="I320" i="6" s="1"/>
  <c r="AB320" i="6" a="1"/>
  <c r="AB320" i="6" s="1"/>
  <c r="X320" i="6" a="1"/>
  <c r="X320" i="6" s="1"/>
  <c r="AB185" i="6" a="1"/>
  <c r="AB185" i="6" s="1"/>
  <c r="I185" i="6" a="1"/>
  <c r="I185" i="6" s="1"/>
  <c r="X185" i="6" a="1"/>
  <c r="X185" i="6" s="1"/>
  <c r="J185" i="6" a="1"/>
  <c r="J185" i="6" s="1"/>
  <c r="AC185" i="6" a="1"/>
  <c r="AC185" i="6" s="1"/>
  <c r="E185" i="6" a="1"/>
  <c r="E185" i="6" s="1"/>
  <c r="Y185" i="6" s="1"/>
  <c r="AB183" i="6" a="1"/>
  <c r="AB183" i="6" s="1"/>
  <c r="I183" i="6" a="1"/>
  <c r="I183" i="6" s="1"/>
  <c r="AC183" i="6" a="1"/>
  <c r="AC183" i="6" s="1"/>
  <c r="J183" i="6" a="1"/>
  <c r="J183" i="6" s="1"/>
  <c r="AB184" i="6" a="1"/>
  <c r="AB184" i="6" s="1"/>
  <c r="E184" i="6" a="1"/>
  <c r="E184" i="6" s="1"/>
  <c r="Y184" i="6" s="1"/>
  <c r="AC184" i="6" a="1"/>
  <c r="AC184" i="6" s="1"/>
  <c r="I184" i="6" a="1"/>
  <c r="I184" i="6" s="1"/>
  <c r="X184" i="6" a="1"/>
  <c r="X184" i="6" s="1"/>
  <c r="J184" i="6" a="1"/>
  <c r="J184" i="6" s="1"/>
  <c r="X187" i="6" a="1"/>
  <c r="X187" i="6" s="1"/>
  <c r="J187" i="6" a="1"/>
  <c r="J187" i="6" s="1"/>
  <c r="I187" i="6" a="1"/>
  <c r="I187" i="6" s="1"/>
  <c r="AC187" i="6" a="1"/>
  <c r="AC187" i="6" s="1"/>
  <c r="AB187" i="6" a="1"/>
  <c r="AB187" i="6" s="1"/>
  <c r="E187" i="6" a="1"/>
  <c r="E187" i="6" s="1"/>
  <c r="Y187" i="6" s="1"/>
  <c r="J186" i="6" a="1"/>
  <c r="J186" i="6" s="1"/>
  <c r="I186" i="6" a="1"/>
  <c r="I186" i="6" s="1"/>
  <c r="X186" i="6" a="1"/>
  <c r="X186" i="6" s="1"/>
  <c r="E186" i="6" a="1"/>
  <c r="E186" i="6" s="1"/>
  <c r="Y186" i="6" s="1"/>
  <c r="AB186" i="6" a="1"/>
  <c r="AB186" i="6" s="1"/>
  <c r="AC186" i="6" a="1"/>
  <c r="AC186" i="6" s="1"/>
  <c r="J11" i="6" a="1"/>
  <c r="J11" i="6" s="1"/>
  <c r="I11" i="6" a="1"/>
  <c r="I11" i="6" s="1"/>
  <c r="AC11" i="6" a="1"/>
  <c r="AC11" i="6" s="1"/>
  <c r="AB11" i="6" a="1"/>
  <c r="AB11" i="6" s="1"/>
  <c r="X11" i="6" a="1"/>
  <c r="X11" i="6" s="1"/>
  <c r="E11" i="6" a="1"/>
  <c r="E11" i="6" s="1"/>
  <c r="E85" i="6" a="1"/>
  <c r="E85" i="6" s="1"/>
  <c r="E82" i="6" a="1"/>
  <c r="E82" i="6" s="1"/>
  <c r="E83" i="6" a="1"/>
  <c r="E83" i="6" s="1"/>
  <c r="E84" i="6" a="1"/>
  <c r="E84" i="6" s="1"/>
  <c r="AC12" i="6" a="1"/>
  <c r="AC12" i="6" s="1"/>
  <c r="AB12" i="6" a="1"/>
  <c r="AB12" i="6" s="1"/>
  <c r="X12" i="6" a="1"/>
  <c r="X12" i="6" s="1"/>
  <c r="E12" i="6" a="1"/>
  <c r="E12" i="6" s="1"/>
  <c r="Z125" i="5"/>
  <c r="I8" i="6" s="1" a="1"/>
  <c r="I8" i="6" s="1"/>
  <c r="M155" i="5"/>
  <c r="AM78" i="5"/>
  <c r="H155" i="5"/>
  <c r="N145" i="5"/>
  <c r="Z155" i="5"/>
  <c r="S155" i="5"/>
  <c r="O145" i="5"/>
  <c r="Y155" i="5"/>
  <c r="O74" i="5"/>
  <c r="AC82" i="5"/>
  <c r="Z78" i="5"/>
  <c r="S74" i="5"/>
  <c r="T155" i="5"/>
  <c r="AA74" i="5"/>
  <c r="K74" i="5"/>
  <c r="O82" i="5"/>
  <c r="P78" i="5"/>
  <c r="AM74" i="5"/>
  <c r="W74" i="5"/>
  <c r="K82" i="5"/>
  <c r="AL74" i="5"/>
  <c r="X82" i="5"/>
  <c r="Z74" i="5"/>
  <c r="J74" i="5"/>
  <c r="AE74" i="5"/>
  <c r="AD74" i="5"/>
  <c r="N74" i="5"/>
  <c r="AI74" i="5"/>
  <c r="V74" i="5"/>
  <c r="AN82" i="5"/>
  <c r="AH74" i="5"/>
  <c r="R74" i="5"/>
  <c r="U145" i="5"/>
  <c r="AO74" i="5"/>
  <c r="AK74" i="5"/>
  <c r="AC74" i="5"/>
  <c r="Y74" i="5"/>
  <c r="M74" i="5"/>
  <c r="I74" i="5"/>
  <c r="R155" i="5"/>
  <c r="M145" i="5"/>
  <c r="S82" i="5"/>
  <c r="AK82" i="5"/>
  <c r="AF82" i="5"/>
  <c r="AA82" i="5"/>
  <c r="V82" i="5"/>
  <c r="O78" i="5"/>
  <c r="U82" i="5"/>
  <c r="AI78" i="5"/>
  <c r="AD78" i="5"/>
  <c r="Y78" i="5"/>
  <c r="T78" i="5"/>
  <c r="L155" i="5"/>
  <c r="AE82" i="5"/>
  <c r="X78" i="5"/>
  <c r="S78" i="5"/>
  <c r="AC78" i="5"/>
  <c r="AL78" i="5"/>
  <c r="K78" i="5"/>
  <c r="AL82" i="5"/>
  <c r="H145" i="5"/>
  <c r="U155" i="5"/>
  <c r="O155" i="5"/>
  <c r="P145" i="5"/>
  <c r="J145" i="5"/>
  <c r="AI82" i="5"/>
  <c r="AH78" i="5"/>
  <c r="AB78" i="5"/>
  <c r="N155" i="5"/>
  <c r="V145" i="5"/>
  <c r="I145" i="5"/>
  <c r="L78" i="5"/>
  <c r="Z82" i="5"/>
  <c r="L82" i="5"/>
  <c r="AG78" i="5"/>
  <c r="AA78" i="5"/>
  <c r="V78" i="5"/>
  <c r="AO82" i="5"/>
  <c r="AJ82" i="5"/>
  <c r="Y82" i="5"/>
  <c r="P82" i="5"/>
  <c r="AF78" i="5"/>
  <c r="AG74" i="5"/>
  <c r="Q74" i="5"/>
  <c r="Q82" i="5"/>
  <c r="AD82" i="5"/>
  <c r="T82" i="5"/>
  <c r="AK78" i="5"/>
  <c r="AE78" i="5"/>
  <c r="U78" i="5"/>
  <c r="J78" i="5"/>
  <c r="U74" i="5"/>
  <c r="AJ78" i="5"/>
  <c r="N78" i="5"/>
  <c r="AH82" i="5"/>
  <c r="J82" i="5"/>
  <c r="AM82" i="5"/>
  <c r="AG82" i="5"/>
  <c r="AB82" i="5"/>
  <c r="W82" i="5"/>
  <c r="N82" i="5"/>
  <c r="I82" i="5"/>
  <c r="R82" i="5"/>
  <c r="M82" i="5"/>
  <c r="AN78" i="5"/>
  <c r="W78" i="5"/>
  <c r="R78" i="5"/>
  <c r="M78" i="5"/>
  <c r="I78" i="5"/>
  <c r="Q78" i="5"/>
  <c r="AN74" i="5"/>
  <c r="AJ74" i="5"/>
  <c r="AF74" i="5"/>
  <c r="AB74" i="5"/>
  <c r="X74" i="5"/>
  <c r="T74" i="5"/>
  <c r="P74" i="5"/>
  <c r="L74" i="5"/>
  <c r="AO78" i="5"/>
  <c r="X155" i="5"/>
  <c r="Z145" i="5"/>
  <c r="S145" i="5"/>
  <c r="T145" i="5"/>
  <c r="Q155" i="5"/>
  <c r="K155" i="5"/>
  <c r="Y145" i="5"/>
  <c r="L145" i="5"/>
  <c r="W155" i="5"/>
  <c r="P155" i="5"/>
  <c r="X145" i="5"/>
  <c r="R145" i="5"/>
  <c r="K145" i="5"/>
  <c r="J155" i="5"/>
  <c r="V155" i="5"/>
  <c r="I155" i="5"/>
  <c r="W145" i="5"/>
  <c r="Q145" i="5"/>
  <c r="W127" i="5"/>
  <c r="R127" i="5"/>
  <c r="V127" i="5"/>
  <c r="S127" i="5"/>
  <c r="J127" i="5"/>
  <c r="N127" i="5"/>
  <c r="K127" i="5"/>
  <c r="M127" i="5"/>
  <c r="L127" i="5"/>
  <c r="Q127" i="5"/>
  <c r="P127" i="5"/>
  <c r="X127" i="5"/>
  <c r="U127" i="5"/>
  <c r="T127" i="5"/>
  <c r="O127" i="5"/>
  <c r="Y127" i="5"/>
  <c r="I127" i="5"/>
  <c r="H127" i="5"/>
  <c r="E185" i="3" a="1"/>
  <c r="E185" i="3" s="1"/>
  <c r="P88" i="5" l="1"/>
  <c r="AH88" i="5"/>
  <c r="M88" i="5"/>
  <c r="K88" i="5"/>
  <c r="T88" i="5"/>
  <c r="W88" i="5"/>
  <c r="O88" i="5"/>
  <c r="AA88" i="5"/>
  <c r="L88" i="5"/>
  <c r="X88" i="5"/>
  <c r="AF88" i="5"/>
  <c r="AJ88" i="5"/>
  <c r="AK88" i="5"/>
  <c r="I88" i="5"/>
  <c r="N88" i="5"/>
  <c r="Q88" i="5"/>
  <c r="AN88" i="5"/>
  <c r="V88" i="5"/>
  <c r="AC88" i="5"/>
  <c r="AD88" i="5"/>
  <c r="J88" i="5"/>
  <c r="AE88" i="5"/>
  <c r="U88" i="5"/>
  <c r="S88" i="5"/>
  <c r="Y88" i="5"/>
  <c r="AG88" i="5"/>
  <c r="R88" i="5"/>
  <c r="Z127" i="5"/>
  <c r="Y320" i="6"/>
  <c r="Y319" i="6"/>
  <c r="Y321" i="6"/>
  <c r="AB9" i="6" a="1"/>
  <c r="AB9" i="6" s="1"/>
  <c r="AC87" i="6" a="1"/>
  <c r="AC87" i="6" s="1"/>
  <c r="AB87" i="6" a="1"/>
  <c r="AB87" i="6" s="1"/>
  <c r="AB86" i="6" a="1"/>
  <c r="AB86" i="6" s="1"/>
  <c r="X86" i="6" a="1"/>
  <c r="X86" i="6" s="1"/>
  <c r="AC9" i="6" a="1"/>
  <c r="AC9" i="6" s="1"/>
  <c r="I87" i="6" a="1"/>
  <c r="I87" i="6" s="1"/>
  <c r="J9" i="6" a="1"/>
  <c r="J9" i="6" s="1"/>
  <c r="I9" i="6" a="1"/>
  <c r="I9" i="6" s="1"/>
  <c r="AC86" i="6" a="1"/>
  <c r="AC86" i="6" s="1"/>
  <c r="J87" i="6" a="1"/>
  <c r="J87" i="6" s="1"/>
  <c r="Y322" i="6"/>
  <c r="W159" i="5"/>
  <c r="M159" i="5"/>
  <c r="E188" i="6" a="1"/>
  <c r="E188" i="6" s="1"/>
  <c r="Y188" i="6" s="1"/>
  <c r="AC188" i="6" a="1"/>
  <c r="AC188" i="6" s="1"/>
  <c r="J188" i="6" a="1"/>
  <c r="J188" i="6" s="1"/>
  <c r="X188" i="6" a="1"/>
  <c r="X188" i="6" s="1"/>
  <c r="I188" i="6" a="1"/>
  <c r="I188" i="6" s="1"/>
  <c r="AB188" i="6" a="1"/>
  <c r="AB188" i="6" s="1"/>
  <c r="AC182" i="6" a="1"/>
  <c r="AC182" i="6" s="1"/>
  <c r="X182" i="6" a="1"/>
  <c r="X182" i="6" s="1"/>
  <c r="E182" i="6" a="1"/>
  <c r="E182" i="6" s="1"/>
  <c r="Y182" i="6" s="1"/>
  <c r="AB182" i="6" a="1"/>
  <c r="AB182" i="6" s="1"/>
  <c r="J182" i="6" a="1"/>
  <c r="J182" i="6" s="1"/>
  <c r="I182" i="6" a="1"/>
  <c r="I182" i="6" s="1"/>
  <c r="I86" i="6" a="1"/>
  <c r="I86" i="6" s="1"/>
  <c r="J8" i="6" a="1"/>
  <c r="J8" i="6" s="1"/>
  <c r="E8" i="6" a="1"/>
  <c r="E8" i="6" s="1"/>
  <c r="AC8" i="6" a="1"/>
  <c r="AC8" i="6" s="1"/>
  <c r="J86" i="6" a="1"/>
  <c r="J86" i="6" s="1"/>
  <c r="E86" i="6" a="1"/>
  <c r="E86" i="6" s="1"/>
  <c r="Y86" i="6" s="1"/>
  <c r="AB8" i="6" a="1"/>
  <c r="AB8" i="6" s="1"/>
  <c r="X8" i="6" a="1"/>
  <c r="X8" i="6" s="1"/>
  <c r="I159" i="5"/>
  <c r="V159" i="5"/>
  <c r="O159" i="5"/>
  <c r="T159" i="5"/>
  <c r="L159" i="5"/>
  <c r="N159" i="5"/>
  <c r="AB88" i="5"/>
  <c r="Q159" i="5"/>
  <c r="S159" i="5"/>
  <c r="Z159" i="5"/>
  <c r="Y159" i="5"/>
  <c r="U159" i="5"/>
  <c r="J159" i="5"/>
  <c r="P159" i="5"/>
  <c r="K159" i="5"/>
  <c r="R159" i="5"/>
  <c r="AM88" i="5"/>
  <c r="AL88" i="5"/>
  <c r="Z88" i="5"/>
  <c r="AI88" i="5"/>
  <c r="X159" i="5"/>
  <c r="R97" i="5"/>
  <c r="AB97" i="5"/>
  <c r="J97" i="5"/>
  <c r="AN97" i="5"/>
  <c r="W64" i="5"/>
  <c r="AF97" i="5"/>
  <c r="T97" i="5"/>
  <c r="X97" i="5"/>
  <c r="AK97" i="5"/>
  <c r="Z97" i="5"/>
  <c r="P97" i="5"/>
  <c r="L97" i="5"/>
  <c r="AD97" i="5"/>
  <c r="AJ97" i="5"/>
  <c r="N97" i="5"/>
  <c r="AC97" i="5"/>
  <c r="M97" i="5"/>
  <c r="AI97" i="5"/>
  <c r="AA97" i="5"/>
  <c r="S97" i="5"/>
  <c r="K97" i="5"/>
  <c r="AH97" i="5"/>
  <c r="V97" i="5"/>
  <c r="U97" i="5"/>
  <c r="AO97" i="5"/>
  <c r="AG97" i="5"/>
  <c r="Y97" i="5"/>
  <c r="Q97" i="5"/>
  <c r="I97" i="5"/>
  <c r="AL97" i="5"/>
  <c r="AM97" i="5"/>
  <c r="AE97" i="5"/>
  <c r="W97" i="5"/>
  <c r="O97" i="5"/>
  <c r="AA64" i="5"/>
  <c r="Q64" i="5"/>
  <c r="H82" i="5"/>
  <c r="AR402" i="3" s="1" a="1"/>
  <c r="AR402" i="3" s="1"/>
  <c r="H74" i="5"/>
  <c r="AP400" i="3" s="1" a="1"/>
  <c r="AP400" i="3" s="1"/>
  <c r="H64" i="5"/>
  <c r="O64" i="5"/>
  <c r="AR399" i="3" a="1"/>
  <c r="AR399" i="3" s="1"/>
  <c r="AI64" i="5"/>
  <c r="H78" i="5"/>
  <c r="AR401" i="3" s="1" a="1"/>
  <c r="AR401" i="3" s="1"/>
  <c r="S64" i="5"/>
  <c r="N64" i="5"/>
  <c r="U64" i="5"/>
  <c r="AH64" i="5"/>
  <c r="Y64" i="5"/>
  <c r="T64" i="5"/>
  <c r="AC64" i="5"/>
  <c r="AG64" i="5"/>
  <c r="AB64" i="5"/>
  <c r="J64" i="5"/>
  <c r="AK64" i="5"/>
  <c r="AO64" i="5"/>
  <c r="I64" i="5"/>
  <c r="K64" i="5"/>
  <c r="M64" i="5"/>
  <c r="AL64" i="5"/>
  <c r="X64" i="5"/>
  <c r="AF64" i="5"/>
  <c r="AJ64" i="5"/>
  <c r="R64" i="5"/>
  <c r="AN64" i="5"/>
  <c r="AE64" i="5"/>
  <c r="V64" i="5"/>
  <c r="Z64" i="5"/>
  <c r="L64" i="5"/>
  <c r="AM64" i="5"/>
  <c r="AD64" i="5"/>
  <c r="P64" i="5"/>
  <c r="K50" i="5"/>
  <c r="O50" i="5"/>
  <c r="AF50" i="5"/>
  <c r="P50" i="5"/>
  <c r="S50" i="5"/>
  <c r="L50" i="5"/>
  <c r="W50" i="5"/>
  <c r="M50" i="5"/>
  <c r="Y50" i="5"/>
  <c r="AI50" i="5"/>
  <c r="I50" i="5"/>
  <c r="X50" i="5"/>
  <c r="Q50" i="5"/>
  <c r="U50" i="5"/>
  <c r="AJ50" i="5"/>
  <c r="AE50" i="5"/>
  <c r="V50" i="5"/>
  <c r="R50" i="5"/>
  <c r="N50" i="5"/>
  <c r="J50" i="5"/>
  <c r="AA50" i="5"/>
  <c r="Z50" i="5"/>
  <c r="AB50" i="5"/>
  <c r="AC50" i="5"/>
  <c r="AM50" i="5"/>
  <c r="AD50" i="5"/>
  <c r="AG50" i="5"/>
  <c r="AH50" i="5"/>
  <c r="AN50" i="5"/>
  <c r="AK50" i="5"/>
  <c r="AL50" i="5"/>
  <c r="T50" i="5"/>
  <c r="AO50" i="5"/>
  <c r="AK35" i="5"/>
  <c r="H35" i="5"/>
  <c r="U35" i="5"/>
  <c r="Q35" i="5"/>
  <c r="AG35" i="5"/>
  <c r="I35" i="5"/>
  <c r="X35" i="5"/>
  <c r="AB35" i="5"/>
  <c r="Y35" i="5"/>
  <c r="AO35" i="5"/>
  <c r="AF35" i="5"/>
  <c r="T35" i="5"/>
  <c r="O35" i="5"/>
  <c r="AJ35" i="5"/>
  <c r="M35" i="5"/>
  <c r="AC35" i="5"/>
  <c r="AN35" i="5"/>
  <c r="AM35" i="5"/>
  <c r="L35" i="5"/>
  <c r="P35" i="5"/>
  <c r="K35" i="5"/>
  <c r="W35" i="5"/>
  <c r="S35" i="5"/>
  <c r="AA35" i="5"/>
  <c r="AE35" i="5"/>
  <c r="AI35" i="5"/>
  <c r="AL35" i="5"/>
  <c r="AH35" i="5"/>
  <c r="AD35" i="5"/>
  <c r="Z35" i="5"/>
  <c r="V35" i="5"/>
  <c r="R35" i="5"/>
  <c r="N35" i="5"/>
  <c r="J35" i="5"/>
  <c r="K177" i="5" l="1"/>
  <c r="M177" i="5"/>
  <c r="P177" i="5"/>
  <c r="N177" i="5"/>
  <c r="I177" i="5"/>
  <c r="X177" i="5"/>
  <c r="W177" i="5"/>
  <c r="S177" i="5"/>
  <c r="U177" i="5"/>
  <c r="O177" i="5"/>
  <c r="J177" i="5"/>
  <c r="L177" i="5"/>
  <c r="Q177" i="5"/>
  <c r="V177" i="5"/>
  <c r="R177" i="5"/>
  <c r="T177" i="5"/>
  <c r="H177" i="5"/>
  <c r="E257" i="6" a="1"/>
  <c r="E257" i="6" s="1"/>
  <c r="Z177" i="5"/>
  <c r="Y177" i="5"/>
  <c r="AR400" i="3" a="1"/>
  <c r="AR400" i="3" s="1"/>
  <c r="AO88" i="5"/>
  <c r="N400" i="3" a="1"/>
  <c r="N400" i="3" s="1"/>
  <c r="AP402" i="3" a="1"/>
  <c r="AP402" i="3" s="1"/>
  <c r="AR473" i="3" a="1"/>
  <c r="AR473" i="3" s="1"/>
  <c r="AO473" i="3" a="1"/>
  <c r="AO473" i="3" s="1"/>
  <c r="AP401" i="3" a="1"/>
  <c r="AP401" i="3" s="1"/>
  <c r="AP399" i="3" a="1"/>
  <c r="AP399" i="3" s="1"/>
  <c r="AR404" i="3" a="1"/>
  <c r="AR404" i="3" s="1"/>
  <c r="AB41" i="5"/>
  <c r="X189" i="6" a="1"/>
  <c r="X189" i="6" s="1"/>
  <c r="E189" i="6" a="1"/>
  <c r="E189" i="6" s="1"/>
  <c r="Y189" i="6" s="1"/>
  <c r="Y190" i="6" s="1"/>
  <c r="Y83" i="6"/>
  <c r="Y84" i="6"/>
  <c r="Y85" i="6"/>
  <c r="Y82" i="6"/>
  <c r="Q41" i="5"/>
  <c r="AK41" i="5"/>
  <c r="W41" i="5"/>
  <c r="I41" i="5"/>
  <c r="L41" i="5"/>
  <c r="R41" i="5"/>
  <c r="AO41" i="5"/>
  <c r="Y41" i="5"/>
  <c r="AL41" i="5"/>
  <c r="O41" i="5"/>
  <c r="P41" i="5"/>
  <c r="AI41" i="5"/>
  <c r="AF41" i="5"/>
  <c r="AG41" i="5"/>
  <c r="V41" i="5"/>
  <c r="AM41" i="5"/>
  <c r="M41" i="5"/>
  <c r="N41" i="5"/>
  <c r="AD41" i="5"/>
  <c r="K41" i="5"/>
  <c r="AA41" i="5"/>
  <c r="AN41" i="5"/>
  <c r="Z41" i="5"/>
  <c r="AC41" i="5"/>
  <c r="AJ41" i="5"/>
  <c r="T41" i="5"/>
  <c r="X41" i="5"/>
  <c r="S41" i="5"/>
  <c r="U41" i="5"/>
  <c r="AE41" i="5"/>
  <c r="AH41" i="5"/>
  <c r="J4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P404" i="3" l="1" a="1"/>
  <c r="AP404" i="3" s="1"/>
  <c r="AO21" i="5"/>
  <c r="X13" i="6" a="1"/>
  <c r="X13" i="6" s="1"/>
  <c r="E13" i="6" a="1"/>
  <c r="E13" i="6" s="1"/>
  <c r="AC13" i="6" a="1"/>
  <c r="AC13" i="6" s="1"/>
  <c r="I13" i="6" a="1"/>
  <c r="I13" i="6" s="1"/>
  <c r="AB13" i="6" a="1"/>
  <c r="AB13" i="6" s="1"/>
  <c r="J13" i="6" a="1"/>
  <c r="J13" i="6" s="1"/>
  <c r="AB10" i="6" a="1"/>
  <c r="AB10" i="6" s="1"/>
  <c r="X10" i="6" a="1"/>
  <c r="X10" i="6" s="1"/>
  <c r="J10" i="6" a="1"/>
  <c r="J10" i="6" s="1"/>
  <c r="I10" i="6" a="1"/>
  <c r="I10" i="6" s="1"/>
  <c r="AC10" i="6" a="1"/>
  <c r="AC10" i="6" s="1"/>
  <c r="E10" i="6" a="1"/>
  <c r="E10" i="6" s="1"/>
  <c r="H88" i="5"/>
  <c r="AP405" i="3" l="1" a="1"/>
  <c r="AP405" i="3" s="1"/>
  <c r="AR405" i="3" a="1"/>
  <c r="AR405" i="3" s="1"/>
  <c r="Y10" i="6"/>
  <c r="Y11" i="6"/>
  <c r="Y12" i="6"/>
  <c r="Y8" i="6"/>
  <c r="Y13" i="6" l="1"/>
  <c r="J83" i="6" l="1" a="1"/>
  <c r="J83" i="6" s="1"/>
  <c r="J84" i="6" a="1"/>
  <c r="J84" i="6" s="1"/>
  <c r="J85" i="6" a="1"/>
  <c r="J85" i="6" s="1"/>
  <c r="I83" i="6" a="1"/>
  <c r="I83" i="6" s="1"/>
  <c r="I84" i="6" a="1"/>
  <c r="I84" i="6" s="1"/>
  <c r="I85" i="6" a="1"/>
  <c r="I85" i="6" s="1"/>
  <c r="J82" i="6" a="1"/>
  <c r="J82" i="6" s="1"/>
  <c r="I82" i="6" a="1"/>
  <c r="I82" i="6" s="1"/>
  <c r="I12" i="6" a="1"/>
  <c r="I12" i="6" s="1"/>
  <c r="J12" i="6" a="1"/>
  <c r="J12" i="6" s="1"/>
  <c r="D107" i="3"/>
  <c r="AG22" i="3" l="1" a="1"/>
  <c r="AG22" i="3" s="1"/>
  <c r="E22" i="3" a="1"/>
  <c r="E22" i="3" s="1"/>
  <c r="AO404" i="3" a="1"/>
  <c r="AO404" i="3" s="1"/>
  <c r="AM404" i="3" a="1"/>
  <c r="AM404" i="3" s="1"/>
  <c r="AG404" i="3" a="1"/>
  <c r="AG404" i="3" s="1"/>
  <c r="AO403" i="3" a="1"/>
  <c r="AO403" i="3" s="1"/>
  <c r="AM403" i="3" a="1"/>
  <c r="AM403" i="3" s="1"/>
  <c r="AG403" i="3" a="1"/>
  <c r="AG403" i="3" s="1"/>
  <c r="P403" i="3" a="1"/>
  <c r="P403" i="3" s="1"/>
  <c r="P404" i="3" a="1"/>
  <c r="P404" i="3" s="1"/>
  <c r="N403" i="3" a="1"/>
  <c r="N403" i="3" s="1"/>
  <c r="N404" i="3" a="1"/>
  <c r="N404" i="3" s="1"/>
  <c r="M403" i="3" a="1"/>
  <c r="M403" i="3" s="1"/>
  <c r="M404" i="3" a="1"/>
  <c r="M404" i="3" s="1"/>
  <c r="K403" i="3" a="1"/>
  <c r="K403" i="3" s="1"/>
  <c r="K404" i="3" a="1"/>
  <c r="K404" i="3" s="1"/>
  <c r="AR334" i="3" a="1"/>
  <c r="AR334" i="3" s="1"/>
  <c r="AP334" i="3" a="1"/>
  <c r="AP334" i="3" s="1"/>
  <c r="AO334" i="3" a="1"/>
  <c r="AO334" i="3" s="1"/>
  <c r="AM334" i="3" a="1"/>
  <c r="AM334" i="3" s="1"/>
  <c r="AG334" i="3" a="1"/>
  <c r="AG334" i="3" s="1"/>
  <c r="AR332" i="3" a="1"/>
  <c r="AR332" i="3" s="1"/>
  <c r="AP332" i="3" a="1"/>
  <c r="AP332" i="3" s="1"/>
  <c r="AO332" i="3" a="1"/>
  <c r="AO332" i="3" s="1"/>
  <c r="AM332" i="3" a="1"/>
  <c r="AM332" i="3" s="1"/>
  <c r="AG332" i="3" a="1"/>
  <c r="AG332" i="3" s="1"/>
  <c r="AR331" i="3" a="1"/>
  <c r="AR331" i="3" s="1"/>
  <c r="AP331" i="3" a="1"/>
  <c r="AP331" i="3" s="1"/>
  <c r="AO331" i="3" a="1"/>
  <c r="AO331" i="3" s="1"/>
  <c r="AM331" i="3" a="1"/>
  <c r="AM331" i="3" s="1"/>
  <c r="AG331" i="3" a="1"/>
  <c r="AG331" i="3" s="1"/>
  <c r="AR330" i="3" a="1"/>
  <c r="AR330" i="3" s="1"/>
  <c r="AP330" i="3" a="1"/>
  <c r="AP330" i="3" s="1"/>
  <c r="AO330" i="3" a="1"/>
  <c r="AO330" i="3" s="1"/>
  <c r="AM330" i="3" a="1"/>
  <c r="AM330" i="3" s="1"/>
  <c r="AG330" i="3" a="1"/>
  <c r="AG330" i="3" s="1"/>
  <c r="P331" i="3" a="1"/>
  <c r="P331" i="3" s="1"/>
  <c r="P332" i="3" a="1"/>
  <c r="P332" i="3" s="1"/>
  <c r="P334" i="3" a="1"/>
  <c r="P334" i="3" s="1"/>
  <c r="N331" i="3" a="1"/>
  <c r="N331" i="3" s="1"/>
  <c r="N332" i="3" a="1"/>
  <c r="N332" i="3" s="1"/>
  <c r="N334" i="3" a="1"/>
  <c r="N334" i="3" s="1"/>
  <c r="M331" i="3" a="1"/>
  <c r="M331" i="3" s="1"/>
  <c r="M332" i="3" a="1"/>
  <c r="M332" i="3" s="1"/>
  <c r="M334" i="3" a="1"/>
  <c r="M334" i="3" s="1"/>
  <c r="K331" i="3" a="1"/>
  <c r="K331" i="3" s="1"/>
  <c r="K332" i="3" a="1"/>
  <c r="K332" i="3" s="1"/>
  <c r="K334" i="3" a="1"/>
  <c r="K334" i="3" s="1"/>
  <c r="P330" i="3" a="1"/>
  <c r="P330" i="3" s="1"/>
  <c r="N330" i="3" a="1"/>
  <c r="N330" i="3" s="1"/>
  <c r="M330" i="3" a="1"/>
  <c r="M330" i="3" s="1"/>
  <c r="K330" i="3" a="1"/>
  <c r="K330" i="3" s="1"/>
  <c r="AR266" i="3" a="1"/>
  <c r="AR266" i="3" s="1"/>
  <c r="AP266" i="3" a="1"/>
  <c r="AP266" i="3" s="1"/>
  <c r="AO266" i="3" a="1"/>
  <c r="AO266" i="3" s="1"/>
  <c r="AM266" i="3" a="1"/>
  <c r="AM266" i="3" s="1"/>
  <c r="AG266" i="3" a="1"/>
  <c r="AG266" i="3" s="1"/>
  <c r="AR265" i="3" a="1"/>
  <c r="AR265" i="3" s="1"/>
  <c r="AP265" i="3" a="1"/>
  <c r="AP265" i="3" s="1"/>
  <c r="AO265" i="3" a="1"/>
  <c r="AO265" i="3" s="1"/>
  <c r="AM265" i="3" a="1"/>
  <c r="AM265" i="3" s="1"/>
  <c r="AG265" i="3" a="1"/>
  <c r="AG265" i="3" s="1"/>
  <c r="AR264" i="3" a="1"/>
  <c r="AR264" i="3" s="1"/>
  <c r="AP264" i="3" a="1"/>
  <c r="AP264" i="3" s="1"/>
  <c r="AO264" i="3" a="1"/>
  <c r="AO264" i="3" s="1"/>
  <c r="AM264" i="3" a="1"/>
  <c r="AM264" i="3" s="1"/>
  <c r="AG264" i="3" a="1"/>
  <c r="AG264" i="3" s="1"/>
  <c r="AR262" i="3" a="1"/>
  <c r="AR262" i="3" s="1"/>
  <c r="AP262" i="3" a="1"/>
  <c r="AP262" i="3" s="1"/>
  <c r="AO262" i="3" a="1"/>
  <c r="AO262" i="3" s="1"/>
  <c r="AM262" i="3" a="1"/>
  <c r="AM262" i="3" s="1"/>
  <c r="AL262" i="3" a="1"/>
  <c r="AL262" i="3" s="1"/>
  <c r="AG262" i="3" a="1"/>
  <c r="AG262" i="3" s="1"/>
  <c r="AR261" i="3" a="1"/>
  <c r="AR261" i="3" s="1"/>
  <c r="AP261" i="3" a="1"/>
  <c r="AP261" i="3" s="1"/>
  <c r="AO261" i="3" a="1"/>
  <c r="AO261" i="3" s="1"/>
  <c r="AM261" i="3" a="1"/>
  <c r="AM261" i="3" s="1"/>
  <c r="AG261" i="3" a="1"/>
  <c r="AG261" i="3" s="1"/>
  <c r="AR259" i="3" a="1"/>
  <c r="AR259" i="3" s="1"/>
  <c r="AP259" i="3" a="1"/>
  <c r="AP259" i="3" s="1"/>
  <c r="AO259" i="3" a="1"/>
  <c r="AO259" i="3" s="1"/>
  <c r="AM259" i="3" a="1"/>
  <c r="AM259" i="3" s="1"/>
  <c r="AG259" i="3" a="1"/>
  <c r="AG259" i="3" s="1"/>
  <c r="P259" i="3" a="1"/>
  <c r="P259" i="3" s="1"/>
  <c r="P261" i="3" a="1"/>
  <c r="P261" i="3" s="1"/>
  <c r="P262" i="3" a="1"/>
  <c r="P262" i="3" s="1"/>
  <c r="P264" i="3" a="1"/>
  <c r="P264" i="3" s="1"/>
  <c r="P265" i="3" a="1"/>
  <c r="P265" i="3" s="1"/>
  <c r="P266" i="3" a="1"/>
  <c r="P266" i="3" s="1"/>
  <c r="N259" i="3" a="1"/>
  <c r="N259" i="3" s="1"/>
  <c r="N261" i="3" a="1"/>
  <c r="N261" i="3" s="1"/>
  <c r="N262" i="3" a="1"/>
  <c r="N262" i="3" s="1"/>
  <c r="N264" i="3" a="1"/>
  <c r="N264" i="3" s="1"/>
  <c r="N265" i="3" a="1"/>
  <c r="N265" i="3" s="1"/>
  <c r="N266" i="3" a="1"/>
  <c r="N266" i="3" s="1"/>
  <c r="M265" i="3" a="1"/>
  <c r="M265" i="3" s="1"/>
  <c r="M266" i="3" a="1"/>
  <c r="M266" i="3" s="1"/>
  <c r="M264" i="3" a="1"/>
  <c r="M264" i="3" s="1"/>
  <c r="M262" i="3" a="1"/>
  <c r="M262" i="3" s="1"/>
  <c r="M259" i="3" a="1"/>
  <c r="M259" i="3" s="1"/>
  <c r="M261" i="3" a="1"/>
  <c r="M261" i="3" s="1"/>
  <c r="K259" i="3" a="1"/>
  <c r="K259" i="3" s="1"/>
  <c r="K261" i="3" a="1"/>
  <c r="K261" i="3" s="1"/>
  <c r="K262" i="3" a="1"/>
  <c r="K262" i="3" s="1"/>
  <c r="K264" i="3" a="1"/>
  <c r="K264" i="3" s="1"/>
  <c r="K265" i="3" a="1"/>
  <c r="K265" i="3" s="1"/>
  <c r="K266" i="3" a="1"/>
  <c r="K266" i="3" s="1"/>
  <c r="J262" i="3" a="1"/>
  <c r="J262" i="3" s="1"/>
  <c r="AR193" i="3" a="1"/>
  <c r="AR193" i="3" s="1"/>
  <c r="AP193" i="3" a="1"/>
  <c r="AP193" i="3" s="1"/>
  <c r="AO193" i="3" a="1"/>
  <c r="AO193" i="3" s="1"/>
  <c r="AM193" i="3" a="1"/>
  <c r="AM193" i="3" s="1"/>
  <c r="AR188" i="3" a="1"/>
  <c r="AR188" i="3" s="1"/>
  <c r="AP188" i="3" a="1"/>
  <c r="AP188" i="3" s="1"/>
  <c r="AO188" i="3" a="1"/>
  <c r="AO188" i="3" s="1"/>
  <c r="AM188" i="3" a="1"/>
  <c r="AM188" i="3" s="1"/>
  <c r="AR187" i="3" a="1"/>
  <c r="AR187" i="3" s="1"/>
  <c r="AP187" i="3" a="1"/>
  <c r="AP187" i="3" s="1"/>
  <c r="AO187" i="3" a="1"/>
  <c r="AO187" i="3" s="1"/>
  <c r="AM187" i="3" a="1"/>
  <c r="AM187" i="3" s="1"/>
  <c r="P187" i="3" a="1"/>
  <c r="P187" i="3" s="1"/>
  <c r="P188" i="3" a="1"/>
  <c r="P188" i="3" s="1"/>
  <c r="P193" i="3" a="1"/>
  <c r="P193" i="3" s="1"/>
  <c r="N187" i="3" a="1"/>
  <c r="N187" i="3" s="1"/>
  <c r="N188" i="3" a="1"/>
  <c r="N188" i="3" s="1"/>
  <c r="N193" i="3" a="1"/>
  <c r="N193" i="3" s="1"/>
  <c r="M187" i="3" a="1"/>
  <c r="M187" i="3" s="1"/>
  <c r="M188" i="3" a="1"/>
  <c r="M188" i="3" s="1"/>
  <c r="M193" i="3" a="1"/>
  <c r="M193" i="3" s="1"/>
  <c r="K187" i="3" a="1"/>
  <c r="K187" i="3" s="1"/>
  <c r="K188" i="3" a="1"/>
  <c r="K188" i="3" s="1"/>
  <c r="K193" i="3" a="1"/>
  <c r="K193" i="3" s="1"/>
  <c r="AR118" i="3" a="1"/>
  <c r="AR118" i="3" s="1"/>
  <c r="AP118" i="3" a="1"/>
  <c r="AP118" i="3" s="1"/>
  <c r="AO118" i="3" a="1"/>
  <c r="AO118" i="3" s="1"/>
  <c r="AM118" i="3" a="1"/>
  <c r="AM118" i="3" s="1"/>
  <c r="AG118" i="3" a="1"/>
  <c r="AG118" i="3" s="1"/>
  <c r="AR116" i="3" a="1"/>
  <c r="AR116" i="3" s="1"/>
  <c r="AP116" i="3" a="1"/>
  <c r="AP116" i="3" s="1"/>
  <c r="AO116" i="3" a="1"/>
  <c r="AO116" i="3" s="1"/>
  <c r="AM116" i="3" a="1"/>
  <c r="AM116" i="3" s="1"/>
  <c r="AG116" i="3" a="1"/>
  <c r="AG116" i="3" s="1"/>
  <c r="AR115" i="3" a="1"/>
  <c r="AR115" i="3" s="1"/>
  <c r="AP115" i="3" a="1"/>
  <c r="AP115" i="3" s="1"/>
  <c r="AO115" i="3" a="1"/>
  <c r="AO115" i="3" s="1"/>
  <c r="AM115" i="3" a="1"/>
  <c r="AM115" i="3" s="1"/>
  <c r="AG115" i="3" a="1"/>
  <c r="AG115" i="3" s="1"/>
  <c r="P115" i="3" a="1"/>
  <c r="P115" i="3" s="1"/>
  <c r="P116" i="3" a="1"/>
  <c r="P116" i="3" s="1"/>
  <c r="P118" i="3" a="1"/>
  <c r="P118" i="3" s="1"/>
  <c r="N115" i="3" a="1"/>
  <c r="N115" i="3" s="1"/>
  <c r="N116" i="3" a="1"/>
  <c r="N116" i="3" s="1"/>
  <c r="N118" i="3" a="1"/>
  <c r="N118" i="3" s="1"/>
  <c r="M115" i="3" a="1"/>
  <c r="M115" i="3" s="1"/>
  <c r="M116" i="3" a="1"/>
  <c r="M116" i="3" s="1"/>
  <c r="M118" i="3" a="1"/>
  <c r="M118" i="3" s="1"/>
  <c r="K115" i="3" a="1"/>
  <c r="K115" i="3" s="1"/>
  <c r="K116" i="3" a="1"/>
  <c r="K116" i="3" s="1"/>
  <c r="K118" i="3" a="1"/>
  <c r="K118" i="3" s="1"/>
  <c r="AR22" i="3" a="1"/>
  <c r="AR22" i="3" s="1"/>
  <c r="AP22" i="3" a="1"/>
  <c r="AP22" i="3" s="1"/>
  <c r="AO22" i="3" a="1"/>
  <c r="AO22" i="3" s="1"/>
  <c r="AM22" i="3" a="1"/>
  <c r="AM22" i="3" s="1"/>
  <c r="AR21" i="3" a="1"/>
  <c r="AR21" i="3" s="1"/>
  <c r="AP21" i="3" a="1"/>
  <c r="AP21" i="3" s="1"/>
  <c r="AO21" i="3" a="1"/>
  <c r="AO21" i="3" s="1"/>
  <c r="AM21" i="3" a="1"/>
  <c r="AM21" i="3" s="1"/>
  <c r="AG21" i="3" a="1"/>
  <c r="AG21" i="3" s="1"/>
  <c r="AR20" i="3" a="1"/>
  <c r="AR20" i="3" s="1"/>
  <c r="AP20" i="3" a="1"/>
  <c r="AP20" i="3" s="1"/>
  <c r="AO20" i="3" a="1"/>
  <c r="AO20" i="3" s="1"/>
  <c r="AM20" i="3" a="1"/>
  <c r="AM20" i="3" s="1"/>
  <c r="AG20" i="3" a="1"/>
  <c r="AG20" i="3" s="1"/>
  <c r="AR19" i="3" a="1"/>
  <c r="AR19" i="3" s="1"/>
  <c r="AP19" i="3" a="1"/>
  <c r="AP19" i="3" s="1"/>
  <c r="AO19" i="3" a="1"/>
  <c r="AO19" i="3" s="1"/>
  <c r="AM19" i="3" a="1"/>
  <c r="AM19" i="3" s="1"/>
  <c r="AG19" i="3" a="1"/>
  <c r="AG19" i="3" s="1"/>
  <c r="AR18" i="3" a="1"/>
  <c r="AR18" i="3" s="1"/>
  <c r="AP18" i="3" a="1"/>
  <c r="AP18" i="3" s="1"/>
  <c r="AO18" i="3" a="1"/>
  <c r="AO18" i="3" s="1"/>
  <c r="AM18" i="3" a="1"/>
  <c r="AM18" i="3" s="1"/>
  <c r="AG18" i="3" a="1"/>
  <c r="AG18" i="3" s="1"/>
  <c r="M22" i="3" a="1"/>
  <c r="M22" i="3" s="1"/>
  <c r="P22" i="3" a="1"/>
  <c r="P22" i="3" s="1"/>
  <c r="N22" i="3" a="1"/>
  <c r="N22" i="3" s="1"/>
  <c r="K22" i="3" a="1"/>
  <c r="K22" i="3" s="1"/>
  <c r="P21" i="3" a="1"/>
  <c r="P21" i="3" s="1"/>
  <c r="N21" i="3" a="1"/>
  <c r="N21" i="3" s="1"/>
  <c r="M21" i="3" a="1"/>
  <c r="M21" i="3" s="1"/>
  <c r="K21" i="3" a="1"/>
  <c r="K21" i="3" s="1"/>
  <c r="E21" i="3" a="1"/>
  <c r="E21" i="3" s="1"/>
  <c r="P20" i="3" a="1"/>
  <c r="P20" i="3" s="1"/>
  <c r="N20" i="3" a="1"/>
  <c r="N20" i="3" s="1"/>
  <c r="M20" i="3" a="1"/>
  <c r="M20" i="3" s="1"/>
  <c r="K20" i="3" a="1"/>
  <c r="K20" i="3" s="1"/>
  <c r="E20" i="3" a="1"/>
  <c r="E20" i="3" s="1"/>
  <c r="P19" i="3" a="1"/>
  <c r="P19" i="3" s="1"/>
  <c r="N19" i="3" a="1"/>
  <c r="N19" i="3" s="1"/>
  <c r="M19" i="3" a="1"/>
  <c r="M19" i="3" s="1"/>
  <c r="K19" i="3" a="1"/>
  <c r="K19" i="3" s="1"/>
  <c r="E19" i="3" a="1"/>
  <c r="E19" i="3" s="1"/>
  <c r="P18" i="3" a="1"/>
  <c r="P18" i="3" s="1"/>
  <c r="N18" i="3" a="1"/>
  <c r="N18" i="3" s="1"/>
  <c r="M18" i="3" a="1"/>
  <c r="M18" i="3" s="1"/>
  <c r="K18" i="3" a="1"/>
  <c r="K18" i="3" s="1"/>
  <c r="E18" i="3" a="1"/>
  <c r="E18" i="3" s="1"/>
  <c r="AR12" i="3" a="1"/>
  <c r="AR12" i="3" s="1"/>
  <c r="AP12" i="3" a="1"/>
  <c r="AP12" i="3" s="1"/>
  <c r="AO12" i="3" a="1"/>
  <c r="AO12" i="3" s="1"/>
  <c r="AM12" i="3" a="1"/>
  <c r="AM12" i="3" s="1"/>
  <c r="AG12" i="3" a="1"/>
  <c r="AG12" i="3" s="1"/>
  <c r="AR11" i="3" a="1"/>
  <c r="AR11" i="3" s="1"/>
  <c r="AP11" i="3" a="1"/>
  <c r="AP11" i="3" s="1"/>
  <c r="AO11" i="3" a="1"/>
  <c r="AO11" i="3" s="1"/>
  <c r="AM11" i="3" a="1"/>
  <c r="AM11" i="3" s="1"/>
  <c r="AG11" i="3" a="1"/>
  <c r="AG11" i="3" s="1"/>
  <c r="AR10" i="3" a="1"/>
  <c r="AR10" i="3" s="1"/>
  <c r="AP10" i="3" a="1"/>
  <c r="AP10" i="3" s="1"/>
  <c r="AO10" i="3" a="1"/>
  <c r="AO10" i="3" s="1"/>
  <c r="AM10" i="3" a="1"/>
  <c r="AM10" i="3" s="1"/>
  <c r="AG10" i="3" a="1"/>
  <c r="AG10" i="3" s="1"/>
  <c r="AR9" i="3" a="1"/>
  <c r="AR9" i="3" s="1"/>
  <c r="AP9" i="3" a="1"/>
  <c r="AP9" i="3" s="1"/>
  <c r="AO9" i="3" a="1"/>
  <c r="AO9" i="3" s="1"/>
  <c r="AM9" i="3" a="1"/>
  <c r="AM9" i="3" s="1"/>
  <c r="AG9" i="3" a="1"/>
  <c r="AG9" i="3" s="1"/>
  <c r="AR8" i="3" a="1"/>
  <c r="AR8" i="3" s="1"/>
  <c r="AP8" i="3" a="1"/>
  <c r="AP8" i="3" s="1"/>
  <c r="AO8" i="3" a="1"/>
  <c r="AO8" i="3" s="1"/>
  <c r="AM8" i="3" a="1"/>
  <c r="AM8" i="3" s="1"/>
  <c r="AG8" i="3" a="1"/>
  <c r="AG8" i="3" s="1"/>
  <c r="AR7" i="3" a="1"/>
  <c r="AR7" i="3" s="1"/>
  <c r="AP7" i="3" a="1"/>
  <c r="AP7" i="3" s="1"/>
  <c r="AO7" i="3" a="1"/>
  <c r="AO7" i="3" s="1"/>
  <c r="AM7" i="3" a="1"/>
  <c r="AM7" i="3" s="1"/>
  <c r="AG7" i="3" a="1"/>
  <c r="AG7" i="3" s="1"/>
  <c r="P8" i="3" a="1"/>
  <c r="P8" i="3" s="1"/>
  <c r="P9" i="3" a="1"/>
  <c r="P9" i="3" s="1"/>
  <c r="P10" i="3" a="1"/>
  <c r="P10" i="3" s="1"/>
  <c r="P11" i="3" a="1"/>
  <c r="P11" i="3" s="1"/>
  <c r="P12" i="3" a="1"/>
  <c r="P12" i="3" s="1"/>
  <c r="N8" i="3" a="1"/>
  <c r="N8" i="3" s="1"/>
  <c r="N9" i="3" a="1"/>
  <c r="N9" i="3" s="1"/>
  <c r="N10" i="3" a="1"/>
  <c r="N10" i="3" s="1"/>
  <c r="N11" i="3" a="1"/>
  <c r="N11" i="3" s="1"/>
  <c r="N12" i="3" a="1"/>
  <c r="N12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P7" i="3" a="1"/>
  <c r="P7" i="3" s="1"/>
  <c r="N7" i="3" a="1"/>
  <c r="N7" i="3" s="1"/>
  <c r="M7" i="3" a="1"/>
  <c r="M7" i="3" s="1"/>
  <c r="K7" i="3" a="1"/>
  <c r="K7" i="3" s="1"/>
  <c r="AR606" i="3" a="1"/>
  <c r="AR606" i="3" s="1"/>
  <c r="AP606" i="3" a="1"/>
  <c r="AP606" i="3" s="1"/>
  <c r="AO606" i="3" a="1"/>
  <c r="AO606" i="3" s="1"/>
  <c r="AM606" i="3" a="1"/>
  <c r="AM606" i="3" s="1"/>
  <c r="AG606" i="3" a="1"/>
  <c r="AG606" i="3" s="1"/>
  <c r="AR605" i="3" a="1"/>
  <c r="AR605" i="3" s="1"/>
  <c r="AP605" i="3" a="1"/>
  <c r="AP605" i="3" s="1"/>
  <c r="AO605" i="3" a="1"/>
  <c r="AO605" i="3" s="1"/>
  <c r="AM605" i="3" a="1"/>
  <c r="AM605" i="3" s="1"/>
  <c r="AG605" i="3" a="1"/>
  <c r="AG605" i="3" s="1"/>
  <c r="AR604" i="3" a="1"/>
  <c r="AR604" i="3" s="1"/>
  <c r="AP604" i="3" a="1"/>
  <c r="AP604" i="3" s="1"/>
  <c r="AO604" i="3" a="1"/>
  <c r="AO604" i="3" s="1"/>
  <c r="AM604" i="3" a="1"/>
  <c r="AM604" i="3" s="1"/>
  <c r="AG604" i="3" a="1"/>
  <c r="AG604" i="3" s="1"/>
  <c r="P605" i="3" a="1"/>
  <c r="P605" i="3" s="1"/>
  <c r="P606" i="3" a="1"/>
  <c r="P606" i="3" s="1"/>
  <c r="N605" i="3" a="1"/>
  <c r="N605" i="3" s="1"/>
  <c r="N606" i="3" a="1"/>
  <c r="N606" i="3" s="1"/>
  <c r="M605" i="3" a="1"/>
  <c r="M605" i="3" s="1"/>
  <c r="M606" i="3" a="1"/>
  <c r="M606" i="3" s="1"/>
  <c r="K605" i="3" a="1"/>
  <c r="K605" i="3" s="1"/>
  <c r="K606" i="3" a="1"/>
  <c r="K606" i="3" s="1"/>
  <c r="E605" i="3" a="1"/>
  <c r="E605" i="3" s="1"/>
  <c r="E606" i="3" a="1"/>
  <c r="E606" i="3" s="1"/>
  <c r="P604" i="3" a="1"/>
  <c r="P604" i="3" s="1"/>
  <c r="N604" i="3" a="1"/>
  <c r="N604" i="3" s="1"/>
  <c r="M604" i="3" a="1"/>
  <c r="M604" i="3" s="1"/>
  <c r="K604" i="3" a="1"/>
  <c r="K604" i="3" s="1"/>
  <c r="E604" i="3" a="1"/>
  <c r="E604" i="3" s="1"/>
  <c r="P538" i="3" a="1"/>
  <c r="P538" i="3" s="1"/>
  <c r="P539" i="3" a="1"/>
  <c r="P539" i="3" s="1"/>
  <c r="P537" i="3" a="1"/>
  <c r="P537" i="3" s="1"/>
  <c r="N536" i="3" a="1"/>
  <c r="N536" i="3" s="1"/>
  <c r="N537" i="3" a="1"/>
  <c r="N537" i="3" s="1"/>
  <c r="N538" i="3" a="1"/>
  <c r="N538" i="3" s="1"/>
  <c r="N539" i="3" a="1"/>
  <c r="N539" i="3" s="1"/>
  <c r="M536" i="3" a="1"/>
  <c r="M536" i="3" s="1"/>
  <c r="M537" i="3" a="1"/>
  <c r="M537" i="3" s="1"/>
  <c r="M538" i="3" a="1"/>
  <c r="M538" i="3" s="1"/>
  <c r="M539" i="3" a="1"/>
  <c r="M539" i="3" s="1"/>
  <c r="K536" i="3" a="1"/>
  <c r="K536" i="3" s="1"/>
  <c r="K537" i="3" a="1"/>
  <c r="K537" i="3" s="1"/>
  <c r="K538" i="3" a="1"/>
  <c r="K538" i="3" s="1"/>
  <c r="K539" i="3" a="1"/>
  <c r="K539" i="3" s="1"/>
  <c r="E536" i="3" a="1"/>
  <c r="E536" i="3" s="1"/>
  <c r="E537" i="3" a="1"/>
  <c r="E537" i="3" s="1"/>
  <c r="E538" i="3" a="1"/>
  <c r="E538" i="3" s="1"/>
  <c r="E539" i="3" a="1"/>
  <c r="E539" i="3" s="1"/>
  <c r="P535" i="3" a="1"/>
  <c r="P535" i="3" s="1"/>
  <c r="N535" i="3" a="1"/>
  <c r="N535" i="3" s="1"/>
  <c r="M535" i="3" a="1"/>
  <c r="M535" i="3" s="1"/>
  <c r="K535" i="3" a="1"/>
  <c r="K535" i="3" s="1"/>
  <c r="E535" i="3" a="1"/>
  <c r="E535" i="3" s="1"/>
  <c r="AP474" i="3" a="1"/>
  <c r="AP474" i="3" s="1"/>
  <c r="AG474" i="3" a="1"/>
  <c r="AG474" i="3" s="1"/>
  <c r="AP472" i="3" a="1"/>
  <c r="AP472" i="3" s="1"/>
  <c r="AM472" i="3" a="1"/>
  <c r="AM472" i="3" s="1"/>
  <c r="AG472" i="3" a="1"/>
  <c r="AG472" i="3" s="1"/>
  <c r="AP471" i="3" a="1"/>
  <c r="AP471" i="3" s="1"/>
  <c r="AM471" i="3" a="1"/>
  <c r="AM471" i="3" s="1"/>
  <c r="AG471" i="3" a="1"/>
  <c r="AG471" i="3" s="1"/>
  <c r="AP470" i="3" a="1"/>
  <c r="AP470" i="3" s="1"/>
  <c r="AM470" i="3" a="1"/>
  <c r="AM470" i="3" s="1"/>
  <c r="AG470" i="3" a="1"/>
  <c r="AG470" i="3" s="1"/>
  <c r="AP469" i="3" a="1"/>
  <c r="AP469" i="3" s="1"/>
  <c r="AM469" i="3" a="1"/>
  <c r="AM469" i="3" s="1"/>
  <c r="AG469" i="3" a="1"/>
  <c r="AG469" i="3" s="1"/>
  <c r="P470" i="3" a="1"/>
  <c r="P470" i="3" s="1"/>
  <c r="P471" i="3" a="1"/>
  <c r="P471" i="3" s="1"/>
  <c r="P472" i="3" a="1"/>
  <c r="P472" i="3" s="1"/>
  <c r="P474" i="3" a="1"/>
  <c r="P474" i="3" s="1"/>
  <c r="N470" i="3" a="1"/>
  <c r="N470" i="3" s="1"/>
  <c r="N471" i="3" a="1"/>
  <c r="N471" i="3" s="1"/>
  <c r="N472" i="3" a="1"/>
  <c r="N472" i="3" s="1"/>
  <c r="N474" i="3" a="1"/>
  <c r="N474" i="3" s="1"/>
  <c r="M470" i="3" a="1"/>
  <c r="M470" i="3" s="1"/>
  <c r="M471" i="3" a="1"/>
  <c r="M471" i="3" s="1"/>
  <c r="M472" i="3" a="1"/>
  <c r="M472" i="3" s="1"/>
  <c r="M474" i="3" a="1"/>
  <c r="M474" i="3" s="1"/>
  <c r="K470" i="3" a="1"/>
  <c r="K470" i="3" s="1"/>
  <c r="K471" i="3" a="1"/>
  <c r="K471" i="3" s="1"/>
  <c r="K472" i="3" a="1"/>
  <c r="K472" i="3" s="1"/>
  <c r="K474" i="3" a="1"/>
  <c r="K474" i="3" s="1"/>
  <c r="E470" i="3" a="1"/>
  <c r="E470" i="3" s="1"/>
  <c r="E471" i="3" a="1"/>
  <c r="E471" i="3" s="1"/>
  <c r="E472" i="3" a="1"/>
  <c r="E472" i="3" s="1"/>
  <c r="E474" i="3" a="1"/>
  <c r="E474" i="3" s="1"/>
  <c r="P469" i="3" a="1"/>
  <c r="P469" i="3" s="1"/>
  <c r="N469" i="3" a="1"/>
  <c r="N469" i="3" s="1"/>
  <c r="M469" i="3" a="1"/>
  <c r="M469" i="3" s="1"/>
  <c r="K469" i="3" a="1"/>
  <c r="K469" i="3" s="1"/>
  <c r="E469" i="3" a="1"/>
  <c r="E469" i="3" s="1"/>
  <c r="E403" i="3" a="1"/>
  <c r="E403" i="3" s="1"/>
  <c r="E404" i="3" a="1"/>
  <c r="E404" i="3" s="1"/>
  <c r="E331" i="3" a="1"/>
  <c r="E331" i="3" s="1"/>
  <c r="E332" i="3" a="1"/>
  <c r="E332" i="3" s="1"/>
  <c r="E334" i="3" a="1"/>
  <c r="E334" i="3" s="1"/>
  <c r="E330" i="3" a="1"/>
  <c r="E330" i="3" s="1"/>
  <c r="E259" i="3" a="1"/>
  <c r="E259" i="3" s="1"/>
  <c r="E261" i="3" a="1"/>
  <c r="E261" i="3" s="1"/>
  <c r="E262" i="3" a="1"/>
  <c r="E262" i="3" s="1"/>
  <c r="E264" i="3" a="1"/>
  <c r="E264" i="3" s="1"/>
  <c r="E265" i="3" a="1"/>
  <c r="E265" i="3" s="1"/>
  <c r="E266" i="3" a="1"/>
  <c r="E266" i="3" s="1"/>
  <c r="AG193" i="3" a="1"/>
  <c r="AG193" i="3" s="1"/>
  <c r="AG188" i="3" a="1"/>
  <c r="AG188" i="3" s="1"/>
  <c r="AG187" i="3" a="1"/>
  <c r="AG187" i="3" s="1"/>
  <c r="E187" i="3" a="1"/>
  <c r="E187" i="3" s="1"/>
  <c r="E188" i="3" a="1"/>
  <c r="E188" i="3" s="1"/>
  <c r="E193" i="3" a="1"/>
  <c r="E193" i="3" s="1"/>
  <c r="E115" i="3" a="1"/>
  <c r="E115" i="3" s="1"/>
  <c r="E116" i="3" a="1"/>
  <c r="E116" i="3" s="1"/>
  <c r="E118" i="3" a="1"/>
  <c r="E118" i="3" s="1"/>
  <c r="E7" i="3" a="1"/>
  <c r="E7" i="3" s="1"/>
  <c r="G263" i="3" l="1"/>
  <c r="AI263" i="3"/>
  <c r="AI535" i="3"/>
  <c r="AI536" i="3"/>
  <c r="AI538" i="3"/>
  <c r="AI537" i="3"/>
  <c r="AI470" i="3"/>
  <c r="AI262" i="3"/>
  <c r="AI471" i="3"/>
  <c r="AI605" i="3"/>
  <c r="AI8" i="3"/>
  <c r="AI261" i="3"/>
  <c r="AI469" i="3"/>
  <c r="AI331" i="3"/>
  <c r="AI188" i="3"/>
  <c r="AI604" i="3"/>
  <c r="AI115" i="3"/>
  <c r="AI259" i="3"/>
  <c r="AI193" i="3"/>
  <c r="AI330" i="3"/>
  <c r="AI9" i="3"/>
  <c r="AI265" i="3"/>
  <c r="AI264" i="3"/>
  <c r="AI11" i="3"/>
  <c r="AI10" i="3"/>
  <c r="AI116" i="3"/>
  <c r="AI7" i="3"/>
  <c r="AI187" i="3"/>
  <c r="AI472" i="3"/>
  <c r="AI118" i="3"/>
  <c r="AI332" i="3"/>
  <c r="AI266" i="3"/>
  <c r="AI606" i="3" l="1"/>
  <c r="D111" i="5" l="1"/>
  <c r="AF331" i="3"/>
  <c r="AF332" i="3"/>
  <c r="AF333" i="3"/>
  <c r="AF330" i="3"/>
  <c r="B3" i="3" l="1"/>
  <c r="AB317" i="6"/>
  <c r="X317" i="6"/>
  <c r="W316" i="6"/>
  <c r="AB251" i="6"/>
  <c r="X251" i="6"/>
  <c r="W250" i="6"/>
  <c r="AB180" i="6"/>
  <c r="X180" i="6"/>
  <c r="W179" i="6"/>
  <c r="AB80" i="6"/>
  <c r="X80" i="6"/>
  <c r="W79" i="6"/>
  <c r="AB5" i="6"/>
  <c r="X5" i="6"/>
  <c r="W4" i="6"/>
  <c r="D4" i="6"/>
  <c r="D79" i="6"/>
  <c r="D15" i="3"/>
  <c r="D4" i="3"/>
  <c r="AJ263" i="3" l="1" a="1"/>
  <c r="AJ263" i="3" s="1"/>
  <c r="H263" i="3" a="1"/>
  <c r="H263" i="3" s="1"/>
  <c r="AL536" i="3" a="1"/>
  <c r="AL536" i="3" s="1"/>
  <c r="AJ537" i="3" a="1"/>
  <c r="AJ537" i="3" s="1"/>
  <c r="AL539" i="3" a="1"/>
  <c r="AL539" i="3" s="1"/>
  <c r="AL472" i="3" a="1"/>
  <c r="AL472" i="3" s="1"/>
  <c r="AJ536" i="3" a="1"/>
  <c r="AJ536" i="3" s="1"/>
  <c r="AL470" i="3" a="1"/>
  <c r="AL470" i="3" s="1"/>
  <c r="AL535" i="3" a="1"/>
  <c r="AL535" i="3" s="1"/>
  <c r="AJ538" i="3" a="1"/>
  <c r="AJ538" i="3" s="1"/>
  <c r="AL538" i="3" a="1"/>
  <c r="AL538" i="3" s="1"/>
  <c r="AL469" i="3" a="1"/>
  <c r="AL469" i="3" s="1"/>
  <c r="AL471" i="3" a="1"/>
  <c r="AL471" i="3" s="1"/>
  <c r="AL474" i="3" a="1"/>
  <c r="AL474" i="3" s="1"/>
  <c r="AJ539" i="3" a="1"/>
  <c r="AJ539" i="3" s="1"/>
  <c r="AL537" i="3" a="1"/>
  <c r="AL537" i="3" s="1"/>
  <c r="AJ535" i="3" a="1"/>
  <c r="AJ535" i="3" s="1"/>
  <c r="AL473" i="3" a="1"/>
  <c r="AL473" i="3" s="1"/>
  <c r="J403" i="3" a="1"/>
  <c r="J403" i="3" s="1"/>
  <c r="AL334" i="3" a="1"/>
  <c r="AL334" i="3" s="1"/>
  <c r="AJ332" i="3" a="1"/>
  <c r="AJ332" i="3" s="1"/>
  <c r="H332" i="3" a="1"/>
  <c r="H332" i="3" s="1"/>
  <c r="AL261" i="3" a="1"/>
  <c r="AL261" i="3" s="1"/>
  <c r="AJ259" i="3" a="1"/>
  <c r="AJ259" i="3" s="1"/>
  <c r="H259" i="3" a="1"/>
  <c r="H259" i="3" s="1"/>
  <c r="AL188" i="3" a="1"/>
  <c r="AL188" i="3" s="1"/>
  <c r="H188" i="3" a="1"/>
  <c r="H188" i="3" s="1"/>
  <c r="H118" i="3" a="1"/>
  <c r="H118" i="3" s="1"/>
  <c r="AL18" i="3" a="1"/>
  <c r="AL18" i="3" s="1"/>
  <c r="H22" i="3" a="1"/>
  <c r="H22" i="3" s="1"/>
  <c r="AL11" i="3" a="1"/>
  <c r="AL11" i="3" s="1"/>
  <c r="AJ10" i="3" a="1"/>
  <c r="AJ10" i="3" s="1"/>
  <c r="H8" i="3" a="1"/>
  <c r="H8" i="3" s="1"/>
  <c r="H606" i="3" a="1"/>
  <c r="H606" i="3" s="1"/>
  <c r="H604" i="3" a="1"/>
  <c r="H604" i="3" s="1"/>
  <c r="H536" i="3" a="1"/>
  <c r="H536" i="3" s="1"/>
  <c r="AJ469" i="3" a="1"/>
  <c r="AJ469" i="3" s="1"/>
  <c r="H472" i="3" a="1"/>
  <c r="H472" i="3" s="1"/>
  <c r="AJ471" i="3" a="1"/>
  <c r="AJ471" i="3" s="1"/>
  <c r="J470" i="3" a="1"/>
  <c r="J470" i="3" s="1"/>
  <c r="J469" i="3" a="1"/>
  <c r="J469" i="3" s="1"/>
  <c r="AL116" i="3" a="1"/>
  <c r="AL116" i="3" s="1"/>
  <c r="AJ7" i="3" a="1"/>
  <c r="AJ7" i="3" s="1"/>
  <c r="J330" i="3" a="1"/>
  <c r="J330" i="3" s="1"/>
  <c r="AL187" i="3" a="1"/>
  <c r="AL187" i="3" s="1"/>
  <c r="J606" i="3" a="1"/>
  <c r="J606" i="3" s="1"/>
  <c r="H470" i="3" a="1"/>
  <c r="H470" i="3" s="1"/>
  <c r="AJ404" i="3" a="1"/>
  <c r="AJ404" i="3" s="1"/>
  <c r="AJ187" i="3" a="1"/>
  <c r="AJ187" i="3" s="1"/>
  <c r="AJ118" i="3" a="1"/>
  <c r="AJ118" i="3" s="1"/>
  <c r="H605" i="3" a="1"/>
  <c r="H605" i="3" s="1"/>
  <c r="J404" i="3" a="1"/>
  <c r="J404" i="3" s="1"/>
  <c r="AJ334" i="3" a="1"/>
  <c r="AJ334" i="3" s="1"/>
  <c r="H334" i="3" a="1"/>
  <c r="H334" i="3" s="1"/>
  <c r="AJ261" i="3" a="1"/>
  <c r="AJ261" i="3" s="1"/>
  <c r="H261" i="3" a="1"/>
  <c r="H261" i="3" s="1"/>
  <c r="AJ188" i="3" a="1"/>
  <c r="AJ188" i="3" s="1"/>
  <c r="H193" i="3" a="1"/>
  <c r="H193" i="3" s="1"/>
  <c r="AL19" i="3" a="1"/>
  <c r="AL19" i="3" s="1"/>
  <c r="AJ18" i="3" a="1"/>
  <c r="AJ18" i="3" s="1"/>
  <c r="AL12" i="3" a="1"/>
  <c r="AL12" i="3" s="1"/>
  <c r="AJ11" i="3" a="1"/>
  <c r="AJ11" i="3" s="1"/>
  <c r="H9" i="3" a="1"/>
  <c r="H9" i="3" s="1"/>
  <c r="H537" i="3" a="1"/>
  <c r="H537" i="3" s="1"/>
  <c r="AJ470" i="3" a="1"/>
  <c r="AJ470" i="3" s="1"/>
  <c r="H474" i="3" a="1"/>
  <c r="H474" i="3" s="1"/>
  <c r="H538" i="3" a="1"/>
  <c r="H538" i="3" s="1"/>
  <c r="J188" i="3" a="1"/>
  <c r="J188" i="3" s="1"/>
  <c r="H535" i="3" a="1"/>
  <c r="H535" i="3" s="1"/>
  <c r="J474" i="3" a="1"/>
  <c r="J474" i="3" s="1"/>
  <c r="AL118" i="3" a="1"/>
  <c r="AL118" i="3" s="1"/>
  <c r="AJ22" i="3" a="1"/>
  <c r="AJ22" i="3" s="1"/>
  <c r="AJ8" i="3" a="1"/>
  <c r="AJ8" i="3" s="1"/>
  <c r="J11" i="3" a="1"/>
  <c r="J11" i="3" s="1"/>
  <c r="H403" i="3" a="1"/>
  <c r="H403" i="3" s="1"/>
  <c r="AL264" i="3" a="1"/>
  <c r="AL264" i="3" s="1"/>
  <c r="AJ262" i="3" a="1"/>
  <c r="AJ262" i="3" s="1"/>
  <c r="H262" i="3" a="1"/>
  <c r="H262" i="3" s="1"/>
  <c r="AL193" i="3" a="1"/>
  <c r="AL193" i="3" s="1"/>
  <c r="AL20" i="3" a="1"/>
  <c r="AL20" i="3" s="1"/>
  <c r="AJ19" i="3" a="1"/>
  <c r="AJ19" i="3" s="1"/>
  <c r="J18" i="3" a="1"/>
  <c r="J18" i="3" s="1"/>
  <c r="AJ12" i="3" a="1"/>
  <c r="AJ12" i="3" s="1"/>
  <c r="H10" i="3" a="1"/>
  <c r="H10" i="3" s="1"/>
  <c r="AL604" i="3" a="1"/>
  <c r="AL604" i="3" s="1"/>
  <c r="AJ330" i="3" a="1"/>
  <c r="AJ330" i="3" s="1"/>
  <c r="H21" i="3" a="1"/>
  <c r="H21" i="3" s="1"/>
  <c r="AL9" i="3" a="1"/>
  <c r="AL9" i="3" s="1"/>
  <c r="AL259" i="3" a="1"/>
  <c r="AL259" i="3" s="1"/>
  <c r="H404" i="3" a="1"/>
  <c r="H404" i="3" s="1"/>
  <c r="AL265" i="3" a="1"/>
  <c r="AL265" i="3" s="1"/>
  <c r="AJ264" i="3" a="1"/>
  <c r="AJ264" i="3" s="1"/>
  <c r="J265" i="3" a="1"/>
  <c r="J265" i="3" s="1"/>
  <c r="H264" i="3" a="1"/>
  <c r="H264" i="3" s="1"/>
  <c r="AJ193" i="3" a="1"/>
  <c r="AJ193" i="3" s="1"/>
  <c r="J115" i="3" a="1"/>
  <c r="J115" i="3" s="1"/>
  <c r="AL21" i="3" a="1"/>
  <c r="AL21" i="3" s="1"/>
  <c r="AJ20" i="3" a="1"/>
  <c r="AJ20" i="3" s="1"/>
  <c r="J22" i="3" a="1"/>
  <c r="J22" i="3" s="1"/>
  <c r="J19" i="3" a="1"/>
  <c r="J19" i="3" s="1"/>
  <c r="H18" i="3" a="1"/>
  <c r="H18" i="3" s="1"/>
  <c r="J8" i="3" a="1"/>
  <c r="J8" i="3" s="1"/>
  <c r="H11" i="3" a="1"/>
  <c r="H11" i="3" s="1"/>
  <c r="AL605" i="3" a="1"/>
  <c r="AL605" i="3" s="1"/>
  <c r="AJ604" i="3" a="1"/>
  <c r="AJ604" i="3" s="1"/>
  <c r="H539" i="3" a="1"/>
  <c r="H539" i="3" s="1"/>
  <c r="AJ472" i="3" a="1"/>
  <c r="AJ472" i="3" s="1"/>
  <c r="J471" i="3" a="1"/>
  <c r="J471" i="3" s="1"/>
  <c r="H469" i="3" a="1"/>
  <c r="H469" i="3" s="1"/>
  <c r="J264" i="3" a="1"/>
  <c r="J264" i="3" s="1"/>
  <c r="H266" i="3" a="1"/>
  <c r="H266" i="3" s="1"/>
  <c r="J118" i="3" a="1"/>
  <c r="J118" i="3" s="1"/>
  <c r="H20" i="3" a="1"/>
  <c r="H20" i="3" s="1"/>
  <c r="AL8" i="3" a="1"/>
  <c r="AL8" i="3" s="1"/>
  <c r="J10" i="3" a="1"/>
  <c r="J10" i="3" s="1"/>
  <c r="J605" i="3" a="1"/>
  <c r="J605" i="3" s="1"/>
  <c r="AJ403" i="3" a="1"/>
  <c r="AJ403" i="3" s="1"/>
  <c r="AL331" i="3" a="1"/>
  <c r="AL331" i="3" s="1"/>
  <c r="AJ331" i="3" a="1"/>
  <c r="AJ331" i="3" s="1"/>
  <c r="H330" i="3" a="1"/>
  <c r="H330" i="3" s="1"/>
  <c r="AJ9" i="3" a="1"/>
  <c r="AJ9" i="3" s="1"/>
  <c r="H471" i="3" a="1"/>
  <c r="H471" i="3" s="1"/>
  <c r="J331" i="3" a="1"/>
  <c r="J331" i="3" s="1"/>
  <c r="AL266" i="3" a="1"/>
  <c r="AL266" i="3" s="1"/>
  <c r="AJ265" i="3" a="1"/>
  <c r="AJ265" i="3" s="1"/>
  <c r="J266" i="3" a="1"/>
  <c r="J266" i="3" s="1"/>
  <c r="H265" i="3" a="1"/>
  <c r="H265" i="3" s="1"/>
  <c r="J187" i="3" a="1"/>
  <c r="J187" i="3" s="1"/>
  <c r="AL115" i="3" a="1"/>
  <c r="AL115" i="3" s="1"/>
  <c r="J116" i="3" a="1"/>
  <c r="J116" i="3" s="1"/>
  <c r="AJ21" i="3" a="1"/>
  <c r="AJ21" i="3" s="1"/>
  <c r="J20" i="3" a="1"/>
  <c r="J20" i="3" s="1"/>
  <c r="H19" i="3" a="1"/>
  <c r="H19" i="3" s="1"/>
  <c r="AL7" i="3" a="1"/>
  <c r="AL7" i="3" s="1"/>
  <c r="J9" i="3" a="1"/>
  <c r="J9" i="3" s="1"/>
  <c r="H12" i="3" a="1"/>
  <c r="H12" i="3" s="1"/>
  <c r="AL606" i="3" a="1"/>
  <c r="AL606" i="3" s="1"/>
  <c r="AJ605" i="3" a="1"/>
  <c r="AJ605" i="3" s="1"/>
  <c r="J536" i="3" a="1"/>
  <c r="J536" i="3" s="1"/>
  <c r="J535" i="3" a="1"/>
  <c r="J535" i="3" s="1"/>
  <c r="AJ474" i="3" a="1"/>
  <c r="AJ474" i="3" s="1"/>
  <c r="J472" i="3" a="1"/>
  <c r="J472" i="3" s="1"/>
  <c r="AL403" i="3" a="1"/>
  <c r="AL403" i="3" s="1"/>
  <c r="AL330" i="3" a="1"/>
  <c r="AL330" i="3" s="1"/>
  <c r="J332" i="3" a="1"/>
  <c r="J332" i="3" s="1"/>
  <c r="AJ266" i="3" a="1"/>
  <c r="AJ266" i="3" s="1"/>
  <c r="AJ115" i="3" a="1"/>
  <c r="AJ115" i="3" s="1"/>
  <c r="AL22" i="3" a="1"/>
  <c r="AL22" i="3" s="1"/>
  <c r="J21" i="3" a="1"/>
  <c r="J21" i="3" s="1"/>
  <c r="AJ606" i="3" a="1"/>
  <c r="AJ606" i="3" s="1"/>
  <c r="J537" i="3" a="1"/>
  <c r="J537" i="3" s="1"/>
  <c r="AL404" i="3" a="1"/>
  <c r="AL404" i="3" s="1"/>
  <c r="J334" i="3" a="1"/>
  <c r="J334" i="3" s="1"/>
  <c r="J261" i="3" a="1"/>
  <c r="J261" i="3" s="1"/>
  <c r="J193" i="3" a="1"/>
  <c r="J193" i="3" s="1"/>
  <c r="H115" i="3" a="1"/>
  <c r="H115" i="3" s="1"/>
  <c r="J7" i="3" a="1"/>
  <c r="J7" i="3" s="1"/>
  <c r="J538" i="3" a="1"/>
  <c r="J538" i="3" s="1"/>
  <c r="H116" i="3" a="1"/>
  <c r="H116" i="3" s="1"/>
  <c r="AL10" i="3" a="1"/>
  <c r="AL10" i="3" s="1"/>
  <c r="H7" i="3" a="1"/>
  <c r="H7" i="3" s="1"/>
  <c r="J604" i="3" a="1"/>
  <c r="J604" i="3" s="1"/>
  <c r="J539" i="3" a="1"/>
  <c r="J539" i="3" s="1"/>
  <c r="AJ116" i="3" a="1"/>
  <c r="AJ116" i="3" s="1"/>
  <c r="AL332" i="3" a="1"/>
  <c r="AL332" i="3" s="1"/>
  <c r="H331" i="3" a="1"/>
  <c r="H331" i="3" s="1"/>
  <c r="J259" i="3" a="1"/>
  <c r="J259" i="3" s="1"/>
  <c r="H187" i="3" a="1"/>
  <c r="H187" i="3" s="1"/>
  <c r="J12" i="3" a="1"/>
  <c r="J12" i="3" s="1"/>
  <c r="AP190" i="3" a="1"/>
  <c r="AP190" i="3" s="1"/>
  <c r="P190" i="3" a="1"/>
  <c r="P190" i="3" s="1"/>
  <c r="AO190" i="3" a="1"/>
  <c r="AO190" i="3" s="1"/>
  <c r="AM190" i="3" a="1"/>
  <c r="AM190" i="3" s="1"/>
  <c r="N190" i="3" a="1"/>
  <c r="N190" i="3" s="1"/>
  <c r="H190" i="3" a="1"/>
  <c r="H190" i="3" s="1"/>
  <c r="AJ190" i="3" a="1"/>
  <c r="AJ190" i="3" s="1"/>
  <c r="M190" i="3" a="1"/>
  <c r="M190" i="3" s="1"/>
  <c r="AG190" i="3" a="1"/>
  <c r="AG190" i="3" s="1"/>
  <c r="AI190" i="3" s="1"/>
  <c r="E190" i="3" a="1"/>
  <c r="E190" i="3" s="1"/>
  <c r="K190" i="3" a="1"/>
  <c r="K190" i="3" s="1"/>
  <c r="J190" i="3" a="1"/>
  <c r="J190" i="3" s="1"/>
  <c r="AR190" i="3" a="1"/>
  <c r="AR190" i="3" s="1"/>
  <c r="AL190" i="3" a="1"/>
  <c r="AL190" i="3" s="1"/>
  <c r="AO399" i="3" a="1"/>
  <c r="AO399" i="3" s="1"/>
  <c r="P399" i="3" a="1"/>
  <c r="P399" i="3" s="1"/>
  <c r="AM399" i="3" a="1"/>
  <c r="AM399" i="3" s="1"/>
  <c r="N399" i="3" a="1"/>
  <c r="N399" i="3" s="1"/>
  <c r="AL399" i="3" a="1"/>
  <c r="AL399" i="3" s="1"/>
  <c r="M399" i="3" a="1"/>
  <c r="M399" i="3" s="1"/>
  <c r="K399" i="3" a="1"/>
  <c r="K399" i="3" s="1"/>
  <c r="AJ399" i="3" a="1"/>
  <c r="AJ399" i="3" s="1"/>
  <c r="J399" i="3" a="1"/>
  <c r="J399" i="3" s="1"/>
  <c r="H399" i="3" a="1"/>
  <c r="H399" i="3" s="1"/>
  <c r="AG399" i="3" a="1"/>
  <c r="AG399" i="3" s="1"/>
  <c r="E399" i="3" a="1"/>
  <c r="E399" i="3" s="1"/>
  <c r="AF15" i="3"/>
  <c r="AF107" i="3"/>
  <c r="AP602" i="3"/>
  <c r="AM602" i="3"/>
  <c r="AG602" i="3"/>
  <c r="AP533" i="3"/>
  <c r="AM533" i="3"/>
  <c r="AG533" i="3"/>
  <c r="AP467" i="3"/>
  <c r="AM467" i="3"/>
  <c r="AG467" i="3"/>
  <c r="AP397" i="3"/>
  <c r="AM397" i="3"/>
  <c r="AG397" i="3"/>
  <c r="AP328" i="3"/>
  <c r="AM328" i="3"/>
  <c r="AG328" i="3"/>
  <c r="AP255" i="3"/>
  <c r="AM255" i="3"/>
  <c r="AG255" i="3"/>
  <c r="AP183" i="3"/>
  <c r="AM183" i="3"/>
  <c r="AG183" i="3"/>
  <c r="AP108" i="3"/>
  <c r="AM108" i="3"/>
  <c r="AG108" i="3"/>
  <c r="AP16" i="3"/>
  <c r="AM16" i="3"/>
  <c r="AG16" i="3"/>
  <c r="AP5" i="3"/>
  <c r="AM5" i="3"/>
  <c r="AG5" i="3"/>
  <c r="AF21" i="3"/>
  <c r="AF20" i="3"/>
  <c r="AF19" i="3"/>
  <c r="AF18" i="3"/>
  <c r="AF4" i="3"/>
  <c r="AF396" i="3" s="1"/>
  <c r="AF327" i="3" l="1"/>
  <c r="AF532" i="3"/>
  <c r="AF466" i="3"/>
  <c r="AF601" i="3"/>
  <c r="AF254" i="3"/>
  <c r="AF182" i="3"/>
  <c r="B3" i="6" l="1"/>
  <c r="G8" i="6" s="1" a="1"/>
  <c r="G8" i="6" s="1"/>
  <c r="W321" i="6"/>
  <c r="W320" i="6"/>
  <c r="W319" i="6"/>
  <c r="D321" i="6"/>
  <c r="D320" i="6"/>
  <c r="D319" i="6"/>
  <c r="W257" i="6"/>
  <c r="W256" i="6"/>
  <c r="W255" i="6"/>
  <c r="W254" i="6"/>
  <c r="W253" i="6"/>
  <c r="D257" i="6"/>
  <c r="D256" i="6"/>
  <c r="D255" i="6"/>
  <c r="D254" i="6"/>
  <c r="D253" i="6"/>
  <c r="AF605" i="3"/>
  <c r="AF604" i="3"/>
  <c r="D605" i="3"/>
  <c r="D604" i="3"/>
  <c r="AF538" i="3"/>
  <c r="AF537" i="3"/>
  <c r="AF536" i="3"/>
  <c r="AF535" i="3"/>
  <c r="D538" i="3"/>
  <c r="D537" i="3"/>
  <c r="D536" i="3"/>
  <c r="D535" i="3"/>
  <c r="AF473" i="3"/>
  <c r="AF472" i="3"/>
  <c r="AF471" i="3"/>
  <c r="AF470" i="3"/>
  <c r="AF469" i="3"/>
  <c r="D473" i="3"/>
  <c r="D472" i="3"/>
  <c r="D471" i="3"/>
  <c r="D470" i="3"/>
  <c r="D469" i="3"/>
  <c r="AF404" i="3"/>
  <c r="AF403" i="3"/>
  <c r="AF402" i="3"/>
  <c r="AF401" i="3"/>
  <c r="AF400" i="3"/>
  <c r="AF399" i="3"/>
  <c r="D404" i="3"/>
  <c r="D403" i="3"/>
  <c r="D402" i="3"/>
  <c r="D401" i="3"/>
  <c r="D400" i="3"/>
  <c r="D399" i="3"/>
  <c r="D333" i="3"/>
  <c r="D332" i="3"/>
  <c r="D331" i="3"/>
  <c r="D330" i="3"/>
  <c r="AF258" i="3"/>
  <c r="AF259" i="3"/>
  <c r="AF260" i="3"/>
  <c r="AF261" i="3"/>
  <c r="AF262" i="3"/>
  <c r="AF264" i="3"/>
  <c r="AF265" i="3"/>
  <c r="AF257" i="3"/>
  <c r="D265" i="3"/>
  <c r="D264" i="3"/>
  <c r="D262" i="3"/>
  <c r="D261" i="3"/>
  <c r="D259" i="3"/>
  <c r="D258" i="3"/>
  <c r="D257" i="3"/>
  <c r="AF192" i="3"/>
  <c r="AF191" i="3"/>
  <c r="AF190" i="3"/>
  <c r="AF189" i="3"/>
  <c r="AF188" i="3"/>
  <c r="AF187" i="3"/>
  <c r="AF186" i="3"/>
  <c r="AF185" i="3"/>
  <c r="D192" i="3"/>
  <c r="D191" i="3"/>
  <c r="D190" i="3"/>
  <c r="D189" i="3"/>
  <c r="D188" i="3"/>
  <c r="D187" i="3"/>
  <c r="D186" i="3"/>
  <c r="D185" i="3"/>
  <c r="AF117" i="3"/>
  <c r="AF116" i="3"/>
  <c r="AF115" i="3"/>
  <c r="AF114" i="3"/>
  <c r="AF113" i="3"/>
  <c r="AF112" i="3"/>
  <c r="AF111" i="3"/>
  <c r="AF110" i="3"/>
  <c r="D117" i="3"/>
  <c r="D116" i="3"/>
  <c r="D115" i="3"/>
  <c r="AF11" i="3"/>
  <c r="AF10" i="3"/>
  <c r="AF9" i="3"/>
  <c r="AF8" i="3"/>
  <c r="AF7" i="3"/>
  <c r="D11" i="3"/>
  <c r="D10" i="3"/>
  <c r="D9" i="3"/>
  <c r="D8" i="3"/>
  <c r="D7" i="3"/>
  <c r="Z190" i="6" l="1" a="1"/>
  <c r="Z190" i="6" s="1"/>
  <c r="H190" i="6" a="1"/>
  <c r="H190" i="6" s="1"/>
  <c r="G190" i="6" a="1"/>
  <c r="G190" i="6" s="1"/>
  <c r="AA190" i="6" a="1"/>
  <c r="AA190" i="6" s="1"/>
  <c r="Z322" i="6" a="1"/>
  <c r="Z322" i="6" s="1"/>
  <c r="Z319" i="6" a="1"/>
  <c r="Z319" i="6" s="1"/>
  <c r="H320" i="6" a="1"/>
  <c r="H320" i="6" s="1"/>
  <c r="Z183" i="6" a="1"/>
  <c r="Z183" i="6" s="1"/>
  <c r="G183" i="6" a="1"/>
  <c r="G183" i="6" s="1"/>
  <c r="H183" i="6" a="1"/>
  <c r="H183" i="6" s="1"/>
  <c r="H319" i="6" a="1"/>
  <c r="H319" i="6" s="1"/>
  <c r="Z186" i="6" a="1"/>
  <c r="Z186" i="6" s="1"/>
  <c r="Z320" i="6" a="1"/>
  <c r="Z320" i="6" s="1"/>
  <c r="Z82" i="6" a="1"/>
  <c r="Z82" i="6" s="1"/>
  <c r="G322" i="6" a="1"/>
  <c r="G322" i="6" s="1"/>
  <c r="G184" i="6" a="1"/>
  <c r="G184" i="6" s="1"/>
  <c r="H186" i="6" a="1"/>
  <c r="H186" i="6" s="1"/>
  <c r="AA85" i="6" a="1"/>
  <c r="AA85" i="6" s="1"/>
  <c r="AA83" i="6" a="1"/>
  <c r="AA83" i="6" s="1"/>
  <c r="H321" i="6" a="1"/>
  <c r="H321" i="6" s="1"/>
  <c r="Z84" i="6" a="1"/>
  <c r="Z84" i="6" s="1"/>
  <c r="H322" i="6" a="1"/>
  <c r="H322" i="6" s="1"/>
  <c r="AA321" i="6" a="1"/>
  <c r="AA321" i="6" s="1"/>
  <c r="Z83" i="6" a="1"/>
  <c r="Z83" i="6" s="1"/>
  <c r="G319" i="6" a="1"/>
  <c r="G319" i="6" s="1"/>
  <c r="H187" i="6" a="1"/>
  <c r="H187" i="6" s="1"/>
  <c r="AA183" i="6" a="1"/>
  <c r="AA183" i="6" s="1"/>
  <c r="G185" i="6" a="1"/>
  <c r="G185" i="6" s="1"/>
  <c r="G320" i="6" a="1"/>
  <c r="G320" i="6" s="1"/>
  <c r="Z321" i="6" a="1"/>
  <c r="Z321" i="6" s="1"/>
  <c r="AA185" i="6" a="1"/>
  <c r="AA185" i="6" s="1"/>
  <c r="H184" i="6" a="1"/>
  <c r="H184" i="6" s="1"/>
  <c r="AA187" i="6" a="1"/>
  <c r="AA187" i="6" s="1"/>
  <c r="G186" i="6" a="1"/>
  <c r="G186" i="6" s="1"/>
  <c r="AA319" i="6" a="1"/>
  <c r="AA319" i="6" s="1"/>
  <c r="Z85" i="6" a="1"/>
  <c r="Z85" i="6" s="1"/>
  <c r="AA322" i="6" a="1"/>
  <c r="AA322" i="6" s="1"/>
  <c r="H185" i="6" a="1"/>
  <c r="H185" i="6" s="1"/>
  <c r="Z187" i="6" a="1"/>
  <c r="Z187" i="6" s="1"/>
  <c r="AA84" i="6" a="1"/>
  <c r="AA84" i="6" s="1"/>
  <c r="G321" i="6" a="1"/>
  <c r="G321" i="6" s="1"/>
  <c r="AA320" i="6" a="1"/>
  <c r="AA320" i="6" s="1"/>
  <c r="Z185" i="6" a="1"/>
  <c r="Z185" i="6" s="1"/>
  <c r="Z184" i="6" a="1"/>
  <c r="Z184" i="6" s="1"/>
  <c r="AA186" i="6" a="1"/>
  <c r="AA186" i="6" s="1"/>
  <c r="AA184" i="6" a="1"/>
  <c r="AA184" i="6" s="1"/>
  <c r="G187" i="6" a="1"/>
  <c r="G187" i="6" s="1"/>
  <c r="AA82" i="6" a="1"/>
  <c r="AA82" i="6" s="1"/>
  <c r="Z182" i="6" a="1"/>
  <c r="Z182" i="6" s="1"/>
  <c r="AA86" i="6" a="1"/>
  <c r="AA86" i="6" s="1"/>
  <c r="Z188" i="6" a="1"/>
  <c r="Z188" i="6" s="1"/>
  <c r="G182" i="6" a="1"/>
  <c r="G182" i="6" s="1"/>
  <c r="G188" i="6" a="1"/>
  <c r="G188" i="6" s="1"/>
  <c r="Z86" i="6" a="1"/>
  <c r="Z86" i="6" s="1"/>
  <c r="AA182" i="6" a="1"/>
  <c r="AA182" i="6" s="1"/>
  <c r="H188" i="6" a="1"/>
  <c r="H188" i="6" s="1"/>
  <c r="AA188" i="6" a="1"/>
  <c r="AA188" i="6" s="1"/>
  <c r="H182" i="6" a="1"/>
  <c r="H182" i="6" s="1"/>
  <c r="H189" i="6" a="1"/>
  <c r="H189" i="6" s="1"/>
  <c r="G189" i="6" a="1"/>
  <c r="G189" i="6" s="1"/>
  <c r="Z189" i="6" a="1"/>
  <c r="Z189" i="6" s="1"/>
  <c r="AA189" i="6" a="1"/>
  <c r="AA189" i="6" s="1"/>
  <c r="G86" i="6" a="1"/>
  <c r="G86" i="6" s="1"/>
  <c r="H86" i="6" a="1"/>
  <c r="H86" i="6" s="1"/>
  <c r="G82" i="6" a="1"/>
  <c r="G82" i="6" s="1"/>
  <c r="Z13" i="6" a="1"/>
  <c r="Z13" i="6" s="1"/>
  <c r="AA11" i="6" a="1"/>
  <c r="AA11" i="6" s="1"/>
  <c r="H8" i="6" a="1"/>
  <c r="H8" i="6" s="1"/>
  <c r="AA10" i="6" a="1"/>
  <c r="AA10" i="6" s="1"/>
  <c r="AA13" i="6" a="1"/>
  <c r="AA13" i="6" s="1"/>
  <c r="Z10" i="6" a="1"/>
  <c r="Z10" i="6" s="1"/>
  <c r="Z11" i="6" a="1"/>
  <c r="Z11" i="6" s="1"/>
  <c r="AA12" i="6" a="1"/>
  <c r="AA12" i="6" s="1"/>
  <c r="Z8" i="6" a="1"/>
  <c r="Z8" i="6" s="1"/>
  <c r="Z12" i="6" a="1"/>
  <c r="Z12" i="6" s="1"/>
  <c r="AA8" i="6" a="1"/>
  <c r="AA8" i="6" s="1"/>
  <c r="H10" i="6" a="1"/>
  <c r="H10" i="6" s="1"/>
  <c r="G10" i="6" a="1"/>
  <c r="G10" i="6" s="1"/>
  <c r="H11" i="6" a="1"/>
  <c r="H11" i="6" s="1"/>
  <c r="G12" i="6" a="1"/>
  <c r="G12" i="6" s="1"/>
  <c r="H13" i="6" a="1"/>
  <c r="H13" i="6" s="1"/>
  <c r="G11" i="6" a="1"/>
  <c r="G11" i="6" s="1"/>
  <c r="G13" i="6" a="1"/>
  <c r="G13" i="6" s="1"/>
  <c r="G85" i="6" a="1"/>
  <c r="G85" i="6" s="1"/>
  <c r="H12" i="6" a="1"/>
  <c r="H12" i="6" s="1"/>
  <c r="H83" i="6" a="1"/>
  <c r="H83" i="6" s="1"/>
  <c r="H84" i="6" a="1"/>
  <c r="H84" i="6" s="1"/>
  <c r="H85" i="6" a="1"/>
  <c r="H85" i="6" s="1"/>
  <c r="H82" i="6" a="1"/>
  <c r="H82" i="6" s="1"/>
  <c r="G83" i="6" a="1"/>
  <c r="G83" i="6" s="1"/>
  <c r="G84" i="6" a="1"/>
  <c r="G84" i="6" s="1"/>
  <c r="AG112" i="3" a="1"/>
  <c r="AG112" i="3" s="1"/>
  <c r="AI112" i="3" s="1"/>
  <c r="E191" i="3" a="1"/>
  <c r="E191" i="3" s="1"/>
  <c r="E112" i="3" a="1"/>
  <c r="E112" i="3" s="1"/>
  <c r="AG191" i="3" a="1"/>
  <c r="AG191" i="3" s="1"/>
  <c r="AI191" i="3" s="1"/>
  <c r="E186" i="3" a="1"/>
  <c r="E186" i="3" s="1"/>
  <c r="AG186" i="3" a="1"/>
  <c r="AG186" i="3" s="1"/>
  <c r="AI186" i="3" s="1"/>
  <c r="AG111" i="3" a="1"/>
  <c r="AG111" i="3" s="1"/>
  <c r="AI111" i="3" s="1"/>
  <c r="E111" i="3" a="1"/>
  <c r="E111" i="3" s="1"/>
  <c r="E110" i="3" a="1"/>
  <c r="E110" i="3" s="1"/>
  <c r="AG185" i="3" a="1"/>
  <c r="AG185" i="3" s="1"/>
  <c r="AG110" i="3" a="1"/>
  <c r="AG110" i="3" s="1"/>
  <c r="Z180" i="6"/>
  <c r="Z317" i="6"/>
  <c r="Z80" i="6"/>
  <c r="Z251" i="6"/>
  <c r="Z5" i="6"/>
  <c r="D164" i="5"/>
  <c r="D144" i="5"/>
  <c r="D132" i="5"/>
  <c r="D122" i="5"/>
  <c r="D102" i="5"/>
  <c r="D92" i="5"/>
  <c r="D72" i="5"/>
  <c r="D60" i="5"/>
  <c r="N602" i="3"/>
  <c r="K602" i="3"/>
  <c r="E602" i="3"/>
  <c r="N533" i="3"/>
  <c r="K533" i="3"/>
  <c r="E533" i="3"/>
  <c r="N467" i="3"/>
  <c r="K467" i="3"/>
  <c r="E467" i="3"/>
  <c r="N397" i="3"/>
  <c r="K397" i="3"/>
  <c r="E397" i="3"/>
  <c r="N328" i="3"/>
  <c r="K328" i="3"/>
  <c r="E328" i="3"/>
  <c r="N255" i="3"/>
  <c r="K255" i="3"/>
  <c r="E255" i="3"/>
  <c r="D182" i="3"/>
  <c r="N183" i="3"/>
  <c r="K183" i="3"/>
  <c r="E183" i="3"/>
  <c r="E108" i="3"/>
  <c r="E5" i="3"/>
  <c r="AI110" i="3" l="1"/>
  <c r="AI185" i="3"/>
  <c r="F183" i="6"/>
  <c r="AG189" i="3" a="1"/>
  <c r="AG189" i="3" s="1"/>
  <c r="AI189" i="3" s="1"/>
  <c r="E189" i="3" a="1"/>
  <c r="E189" i="3" s="1"/>
  <c r="E401" i="3" a="1"/>
  <c r="E401" i="3" s="1"/>
  <c r="AG401" i="3" a="1"/>
  <c r="AG401" i="3" s="1"/>
  <c r="AG402" i="3" a="1"/>
  <c r="AG402" i="3" s="1"/>
  <c r="E402" i="3" a="1"/>
  <c r="E402" i="3" s="1"/>
  <c r="AG333" i="3" a="1"/>
  <c r="AG333" i="3" s="1"/>
  <c r="E333" i="3" a="1"/>
  <c r="E333" i="3" s="1"/>
  <c r="AG257" i="3" a="1"/>
  <c r="AG257" i="3" s="1"/>
  <c r="AG113" i="3" a="1"/>
  <c r="AG113" i="3" s="1"/>
  <c r="AI113" i="3" s="1"/>
  <c r="E113" i="3" a="1"/>
  <c r="E113" i="3" s="1"/>
  <c r="E257" i="3" a="1"/>
  <c r="E257" i="3" s="1"/>
  <c r="AG400" i="3" a="1"/>
  <c r="AG400" i="3" s="1"/>
  <c r="E400" i="3" a="1"/>
  <c r="E400" i="3" s="1"/>
  <c r="AP473" i="3" a="1"/>
  <c r="AP473" i="3" s="1"/>
  <c r="P473" i="3" a="1"/>
  <c r="P473" i="3" s="1"/>
  <c r="N473" i="3" a="1"/>
  <c r="N473" i="3" s="1"/>
  <c r="AG473" i="3" a="1"/>
  <c r="AG473" i="3" s="1"/>
  <c r="E473" i="3" a="1"/>
  <c r="E473" i="3" s="1"/>
  <c r="AG260" i="3" a="1"/>
  <c r="AG260" i="3" s="1"/>
  <c r="AI260" i="3" s="1"/>
  <c r="E260" i="3" a="1"/>
  <c r="E260" i="3" s="1"/>
  <c r="E258" i="3" a="1"/>
  <c r="E258" i="3" s="1"/>
  <c r="E114" i="3" a="1"/>
  <c r="E114" i="3" s="1"/>
  <c r="AG114" i="3" a="1"/>
  <c r="AG114" i="3" s="1"/>
  <c r="AI114" i="3" s="1"/>
  <c r="AG258" i="3" a="1"/>
  <c r="AG258" i="3" s="1"/>
  <c r="AI258" i="3" s="1"/>
  <c r="D396" i="3"/>
  <c r="D327" i="3"/>
  <c r="D254" i="3"/>
  <c r="D532" i="3"/>
  <c r="D466" i="3"/>
  <c r="D601" i="3"/>
  <c r="AJ467" i="3"/>
  <c r="AJ533" i="3"/>
  <c r="AJ328" i="3"/>
  <c r="AJ108" i="3"/>
  <c r="AJ397" i="3"/>
  <c r="AJ255" i="3"/>
  <c r="AJ16" i="3"/>
  <c r="AJ602" i="3"/>
  <c r="AJ183" i="3"/>
  <c r="AJ5" i="3"/>
  <c r="G193" i="3"/>
  <c r="G118" i="3"/>
  <c r="H602" i="3"/>
  <c r="H183" i="3"/>
  <c r="H255" i="3"/>
  <c r="H328" i="3"/>
  <c r="H533" i="3"/>
  <c r="H467" i="3"/>
  <c r="H397" i="3"/>
  <c r="AI333" i="3" l="1"/>
  <c r="AI473" i="3"/>
  <c r="AI474" i="3" s="1"/>
  <c r="AI257" i="3"/>
  <c r="E117" i="3" a="1"/>
  <c r="E117" i="3" s="1"/>
  <c r="AG117" i="3" a="1"/>
  <c r="AG117" i="3" s="1"/>
  <c r="AI117" i="3" s="1"/>
  <c r="AG192" i="3" a="1"/>
  <c r="AG192" i="3" s="1"/>
  <c r="AI192" i="3" s="1"/>
  <c r="E192" i="3" a="1"/>
  <c r="E192" i="3" s="1"/>
  <c r="G330" i="3"/>
  <c r="G187" i="3"/>
  <c r="G188" i="3"/>
  <c r="G116" i="3"/>
  <c r="G115" i="3"/>
  <c r="F189" i="6" l="1"/>
  <c r="E405" i="3" a="1"/>
  <c r="E405" i="3" s="1"/>
  <c r="AG405" i="3" a="1"/>
  <c r="AG405" i="3" s="1"/>
  <c r="E158" i="5"/>
  <c r="E157" i="5"/>
  <c r="E156" i="5"/>
  <c r="E149" i="5"/>
  <c r="E148" i="5"/>
  <c r="E147" i="5"/>
  <c r="E146" i="5"/>
  <c r="E145" i="5"/>
  <c r="E150" i="5"/>
  <c r="D46" i="5"/>
  <c r="D26" i="5"/>
  <c r="AI404" i="3" l="1"/>
  <c r="AI403" i="3"/>
  <c r="AI399" i="3"/>
  <c r="AI400" i="3"/>
  <c r="AI402" i="3"/>
  <c r="AI401" i="3"/>
  <c r="AI405" i="3" l="1"/>
  <c r="F8" i="6" l="1"/>
  <c r="F10" i="6"/>
  <c r="N108" i="3" l="1"/>
  <c r="K108" i="3"/>
  <c r="H108" i="3"/>
  <c r="N16" i="3"/>
  <c r="K16" i="3"/>
  <c r="H16" i="3"/>
  <c r="E16" i="3"/>
  <c r="N5" i="3"/>
  <c r="K5" i="3"/>
  <c r="H5" i="3"/>
  <c r="E251" i="6"/>
  <c r="E317" i="6"/>
  <c r="E180" i="6"/>
  <c r="E80" i="6"/>
  <c r="I251" i="6"/>
  <c r="G251" i="6"/>
  <c r="D250" i="6"/>
  <c r="I317" i="6"/>
  <c r="G317" i="6"/>
  <c r="D316" i="6"/>
  <c r="I180" i="6"/>
  <c r="G180" i="6"/>
  <c r="D179" i="6"/>
  <c r="I80" i="6"/>
  <c r="G80" i="6"/>
  <c r="I5" i="6"/>
  <c r="G5" i="6"/>
  <c r="K473" i="3" l="1" a="1"/>
  <c r="K473" i="3" s="1"/>
  <c r="M473" i="3" a="1"/>
  <c r="M473" i="3" s="1"/>
  <c r="AM473" i="3" a="1"/>
  <c r="AM473" i="3" s="1"/>
  <c r="J473" i="3" a="1"/>
  <c r="J473" i="3" s="1"/>
  <c r="H473" i="3" a="1"/>
  <c r="H473" i="3" s="1"/>
  <c r="AJ473" i="3" a="1"/>
  <c r="AJ473" i="3" s="1"/>
  <c r="AP111" i="3" l="1" a="1"/>
  <c r="AP111" i="3" s="1"/>
  <c r="N186" i="3" a="1"/>
  <c r="N186" i="3" s="1"/>
  <c r="P186" i="3" a="1"/>
  <c r="P186" i="3" s="1"/>
  <c r="AP186" i="3" a="1"/>
  <c r="AP186" i="3" s="1"/>
  <c r="P111" i="3" a="1"/>
  <c r="P111" i="3" s="1"/>
  <c r="AR111" i="3" a="1"/>
  <c r="AR111" i="3" s="1"/>
  <c r="N111" i="3" a="1"/>
  <c r="N111" i="3" s="1"/>
  <c r="AR186" i="3" a="1"/>
  <c r="AR186" i="3" s="1"/>
  <c r="AR112" i="3" a="1"/>
  <c r="AR112" i="3" s="1"/>
  <c r="AP112" i="3" a="1"/>
  <c r="AP112" i="3" s="1"/>
  <c r="AP191" i="3" a="1"/>
  <c r="AP191" i="3" s="1"/>
  <c r="AR191" i="3" a="1"/>
  <c r="AR191" i="3" s="1"/>
  <c r="N191" i="3" a="1"/>
  <c r="N191" i="3" s="1"/>
  <c r="P191" i="3" a="1"/>
  <c r="P191" i="3" s="1"/>
  <c r="P112" i="3" a="1"/>
  <c r="P112" i="3" s="1"/>
  <c r="N112" i="3" a="1"/>
  <c r="N112" i="3" s="1"/>
  <c r="AP110" i="3" a="1"/>
  <c r="AP110" i="3" s="1"/>
  <c r="N185" i="3" a="1"/>
  <c r="N185" i="3" s="1"/>
  <c r="AR110" i="3" a="1"/>
  <c r="AR110" i="3" s="1"/>
  <c r="N110" i="3" a="1"/>
  <c r="N110" i="3" s="1"/>
  <c r="AP185" i="3" a="1"/>
  <c r="AP185" i="3" s="1"/>
  <c r="P185" i="3" a="1"/>
  <c r="P185" i="3" s="1"/>
  <c r="P110" i="3" a="1"/>
  <c r="P110" i="3" s="1"/>
  <c r="AR185" i="3" a="1"/>
  <c r="AR185" i="3" s="1"/>
  <c r="F253" i="6"/>
  <c r="F254" i="6"/>
  <c r="F257" i="6"/>
  <c r="F256" i="6"/>
  <c r="F255" i="6"/>
  <c r="P536" i="3" a="1"/>
  <c r="P536" i="3" s="1"/>
  <c r="G266" i="3"/>
  <c r="AR257" i="3" l="1" a="1"/>
  <c r="AR257" i="3" s="1"/>
  <c r="AP257" i="3" a="1"/>
  <c r="AP257" i="3" s="1"/>
  <c r="AR113" i="3" a="1"/>
  <c r="AR113" i="3" s="1"/>
  <c r="N257" i="3" a="1"/>
  <c r="N257" i="3" s="1"/>
  <c r="N113" i="3" a="1"/>
  <c r="N113" i="3" s="1"/>
  <c r="P113" i="3" a="1"/>
  <c r="P113" i="3" s="1"/>
  <c r="AP113" i="3" a="1"/>
  <c r="AP113" i="3" s="1"/>
  <c r="P257" i="3" a="1"/>
  <c r="P257" i="3" s="1"/>
  <c r="AP258" i="3" a="1"/>
  <c r="AP258" i="3" s="1"/>
  <c r="P258" i="3" a="1"/>
  <c r="P258" i="3" s="1"/>
  <c r="AR258" i="3" a="1"/>
  <c r="AR258" i="3" s="1"/>
  <c r="AP114" i="3" a="1"/>
  <c r="AP114" i="3" s="1"/>
  <c r="N114" i="3" a="1"/>
  <c r="N114" i="3" s="1"/>
  <c r="AR114" i="3" a="1"/>
  <c r="AR114" i="3" s="1"/>
  <c r="N258" i="3" a="1"/>
  <c r="N258" i="3" s="1"/>
  <c r="P114" i="3" a="1"/>
  <c r="P114" i="3" s="1"/>
  <c r="G18" i="3"/>
  <c r="G22" i="3"/>
  <c r="AI18" i="3"/>
  <c r="AI22" i="3"/>
  <c r="AI19" i="3"/>
  <c r="AI21" i="3"/>
  <c r="G21" i="3"/>
  <c r="AI20" i="3"/>
  <c r="G20" i="3"/>
  <c r="G19" i="3"/>
  <c r="F258" i="6"/>
  <c r="G536" i="3"/>
  <c r="G538" i="3"/>
  <c r="G535" i="3"/>
  <c r="G605" i="3"/>
  <c r="G331" i="3"/>
  <c r="G332" i="3"/>
  <c r="G469" i="3"/>
  <c r="G472" i="3"/>
  <c r="G471" i="3"/>
  <c r="G470" i="3"/>
  <c r="G473" i="3"/>
  <c r="G604" i="3"/>
  <c r="G259" i="3"/>
  <c r="G264" i="3"/>
  <c r="G265" i="3"/>
  <c r="G261" i="3"/>
  <c r="G537" i="3"/>
  <c r="G262" i="3"/>
  <c r="G7" i="3"/>
  <c r="G10" i="3"/>
  <c r="G8" i="3"/>
  <c r="G9" i="3"/>
  <c r="G11" i="3"/>
  <c r="AI539" i="3" l="1"/>
  <c r="G474" i="3"/>
  <c r="AI12" i="3"/>
  <c r="F86" i="6"/>
  <c r="G539" i="3"/>
  <c r="G606" i="3"/>
  <c r="G12" i="3"/>
  <c r="F83" i="6" l="1"/>
  <c r="F84" i="6"/>
  <c r="F82" i="6"/>
  <c r="F85" i="6"/>
  <c r="H260" i="3" l="1" a="1"/>
  <c r="H260" i="3" s="1"/>
  <c r="J260" i="3" a="1"/>
  <c r="J260" i="3" s="1"/>
  <c r="AL260" i="3" a="1"/>
  <c r="AL260" i="3" s="1"/>
  <c r="AJ260" i="3" a="1"/>
  <c r="AJ260" i="3" s="1"/>
  <c r="AL333" i="3" a="1"/>
  <c r="AL333" i="3" s="1"/>
  <c r="H333" i="3" a="1"/>
  <c r="H333" i="3" s="1"/>
  <c r="AJ333" i="3" a="1"/>
  <c r="AJ333" i="3" s="1"/>
  <c r="J333" i="3" a="1"/>
  <c r="J333" i="3" s="1"/>
  <c r="AJ400" i="3" a="1"/>
  <c r="AJ400" i="3" s="1"/>
  <c r="AL400" i="3" a="1"/>
  <c r="AL400" i="3" s="1"/>
  <c r="J400" i="3" a="1"/>
  <c r="J400" i="3" s="1"/>
  <c r="H400" i="3" a="1"/>
  <c r="H400" i="3" s="1"/>
  <c r="AM400" i="3" a="1"/>
  <c r="AM400" i="3" s="1"/>
  <c r="M400" i="3" a="1"/>
  <c r="M400" i="3" s="1"/>
  <c r="K400" i="3" a="1"/>
  <c r="K400" i="3" s="1"/>
  <c r="AO400" i="3" a="1"/>
  <c r="AO400" i="3" s="1"/>
  <c r="AJ401" i="3" a="1"/>
  <c r="AJ401" i="3" s="1"/>
  <c r="H401" i="3" a="1"/>
  <c r="H401" i="3" s="1"/>
  <c r="J401" i="3" a="1"/>
  <c r="J401" i="3" s="1"/>
  <c r="AL401" i="3" a="1"/>
  <c r="AL401" i="3" s="1"/>
  <c r="K401" i="3" a="1"/>
  <c r="K401" i="3" s="1"/>
  <c r="AO401" i="3" a="1"/>
  <c r="AO401" i="3" s="1"/>
  <c r="AM401" i="3" a="1"/>
  <c r="AM401" i="3" s="1"/>
  <c r="M401" i="3" a="1"/>
  <c r="M401" i="3" s="1"/>
  <c r="AL402" i="3" a="1"/>
  <c r="AL402" i="3" s="1"/>
  <c r="AJ402" i="3" a="1"/>
  <c r="AJ402" i="3" s="1"/>
  <c r="J402" i="3" a="1"/>
  <c r="J402" i="3" s="1"/>
  <c r="H402" i="3" a="1"/>
  <c r="H402" i="3" s="1"/>
  <c r="AO260" i="3" a="1"/>
  <c r="AO260" i="3" s="1"/>
  <c r="M260" i="3" a="1"/>
  <c r="M260" i="3" s="1"/>
  <c r="K260" i="3" a="1"/>
  <c r="K260" i="3" s="1"/>
  <c r="AM260" i="3" a="1"/>
  <c r="AM260" i="3" s="1"/>
  <c r="AO333" i="3" a="1"/>
  <c r="AO333" i="3" s="1"/>
  <c r="AM333" i="3" a="1"/>
  <c r="AM333" i="3" s="1"/>
  <c r="M333" i="3" a="1"/>
  <c r="M333" i="3" s="1"/>
  <c r="K333" i="3" a="1"/>
  <c r="K333" i="3" s="1"/>
  <c r="P400" i="3" a="1"/>
  <c r="P400" i="3" s="1"/>
  <c r="AP260" i="3" a="1"/>
  <c r="AP260" i="3" s="1"/>
  <c r="P260" i="3" a="1"/>
  <c r="P260" i="3" s="1"/>
  <c r="AR260" i="3" a="1"/>
  <c r="AR260" i="3" s="1"/>
  <c r="N260" i="3" a="1"/>
  <c r="N260" i="3" s="1"/>
  <c r="N401" i="3" a="1"/>
  <c r="N401" i="3" s="1"/>
  <c r="P401" i="3" a="1"/>
  <c r="P401" i="3" s="1"/>
  <c r="AR333" i="3" a="1"/>
  <c r="AR333" i="3" s="1"/>
  <c r="P333" i="3" a="1"/>
  <c r="P333" i="3" s="1"/>
  <c r="N333" i="3" a="1"/>
  <c r="N333" i="3" s="1"/>
  <c r="AP333" i="3" a="1"/>
  <c r="AP333" i="3" s="1"/>
  <c r="N402" i="3" a="1"/>
  <c r="N402" i="3" s="1"/>
  <c r="P402" i="3" a="1"/>
  <c r="P402" i="3" s="1"/>
  <c r="M402" i="3" a="1"/>
  <c r="M402" i="3" s="1"/>
  <c r="AO402" i="3" a="1"/>
  <c r="AO402" i="3" s="1"/>
  <c r="AM402" i="3" a="1"/>
  <c r="AM402" i="3" s="1"/>
  <c r="K402" i="3" a="1"/>
  <c r="K402" i="3" s="1"/>
  <c r="G260" i="3"/>
  <c r="G333" i="3" l="1"/>
  <c r="AO405" i="3" l="1" a="1"/>
  <c r="AO405" i="3" s="1"/>
  <c r="AM405" i="3" a="1"/>
  <c r="AM405" i="3" s="1"/>
  <c r="AL405" i="3" a="1"/>
  <c r="AL405" i="3" s="1"/>
  <c r="AJ405" i="3" a="1"/>
  <c r="AJ405" i="3" s="1"/>
  <c r="P405" i="3" a="1"/>
  <c r="P405" i="3" s="1"/>
  <c r="N405" i="3" a="1"/>
  <c r="N405" i="3" s="1"/>
  <c r="J405" i="3" a="1"/>
  <c r="J405" i="3" s="1"/>
  <c r="H405" i="3" a="1"/>
  <c r="H405" i="3" s="1"/>
  <c r="K405" i="3" a="1"/>
  <c r="K405" i="3" s="1"/>
  <c r="M405" i="3" a="1"/>
  <c r="M405" i="3" s="1"/>
  <c r="G334" i="3"/>
  <c r="AI334" i="3"/>
  <c r="G404" i="3"/>
  <c r="G399" i="3"/>
  <c r="G403" i="3"/>
  <c r="G400" i="3"/>
  <c r="G402" i="3"/>
  <c r="G401" i="3"/>
  <c r="D18" i="5"/>
  <c r="D114" i="3" s="1"/>
  <c r="D17" i="5"/>
  <c r="D113" i="3" s="1"/>
  <c r="D16" i="5"/>
  <c r="D112" i="3" s="1"/>
  <c r="D15" i="5"/>
  <c r="D111" i="3" s="1"/>
  <c r="D14" i="5"/>
  <c r="D110" i="3" s="1"/>
  <c r="AO258" i="3" l="1" a="1"/>
  <c r="AO258" i="3" s="1"/>
  <c r="K114" i="3" a="1"/>
  <c r="K114" i="3" s="1"/>
  <c r="AO114" i="3" a="1"/>
  <c r="AO114" i="3" s="1"/>
  <c r="AM258" i="3" a="1"/>
  <c r="AM258" i="3" s="1"/>
  <c r="K258" i="3" a="1"/>
  <c r="K258" i="3" s="1"/>
  <c r="M258" i="3" a="1"/>
  <c r="M258" i="3" s="1"/>
  <c r="AM114" i="3" a="1"/>
  <c r="AM114" i="3" s="1"/>
  <c r="M114" i="3" a="1"/>
  <c r="M114" i="3" s="1"/>
  <c r="AM113" i="3" a="1"/>
  <c r="AM113" i="3" s="1"/>
  <c r="M257" i="3" a="1"/>
  <c r="M257" i="3" s="1"/>
  <c r="AO113" i="3" a="1"/>
  <c r="AO113" i="3" s="1"/>
  <c r="K113" i="3" a="1"/>
  <c r="K113" i="3" s="1"/>
  <c r="AO257" i="3" a="1"/>
  <c r="AO257" i="3" s="1"/>
  <c r="K257" i="3" a="1"/>
  <c r="K257" i="3" s="1"/>
  <c r="AM257" i="3" a="1"/>
  <c r="AM257" i="3" s="1"/>
  <c r="M113" i="3" a="1"/>
  <c r="M113" i="3" s="1"/>
  <c r="AO112" i="3" a="1"/>
  <c r="AO112" i="3" s="1"/>
  <c r="AM191" i="3" a="1"/>
  <c r="AM191" i="3" s="1"/>
  <c r="M191" i="3" a="1"/>
  <c r="M191" i="3" s="1"/>
  <c r="AO191" i="3" a="1"/>
  <c r="AO191" i="3" s="1"/>
  <c r="AM112" i="3" a="1"/>
  <c r="AM112" i="3" s="1"/>
  <c r="K112" i="3" a="1"/>
  <c r="K112" i="3" s="1"/>
  <c r="M112" i="3" a="1"/>
  <c r="M112" i="3" s="1"/>
  <c r="K191" i="3" a="1"/>
  <c r="K191" i="3" s="1"/>
  <c r="AL113" i="3" a="1"/>
  <c r="AL113" i="3" s="1"/>
  <c r="H257" i="3" a="1"/>
  <c r="H257" i="3" s="1"/>
  <c r="J113" i="3" a="1"/>
  <c r="J113" i="3" s="1"/>
  <c r="H113" i="3" a="1"/>
  <c r="H113" i="3" s="1"/>
  <c r="AJ257" i="3" a="1"/>
  <c r="AJ257" i="3" s="1"/>
  <c r="J257" i="3" a="1"/>
  <c r="J257" i="3" s="1"/>
  <c r="AL257" i="3" a="1"/>
  <c r="AL257" i="3" s="1"/>
  <c r="AJ113" i="3" a="1"/>
  <c r="AJ113" i="3" s="1"/>
  <c r="J191" i="3" a="1"/>
  <c r="J191" i="3" s="1"/>
  <c r="AL112" i="3" a="1"/>
  <c r="AL112" i="3" s="1"/>
  <c r="J112" i="3" a="1"/>
  <c r="J112" i="3" s="1"/>
  <c r="H191" i="3" a="1"/>
  <c r="H191" i="3" s="1"/>
  <c r="H112" i="3" a="1"/>
  <c r="H112" i="3" s="1"/>
  <c r="AL191" i="3" a="1"/>
  <c r="AL191" i="3" s="1"/>
  <c r="AJ112" i="3" a="1"/>
  <c r="AJ112" i="3" s="1"/>
  <c r="AJ191" i="3" a="1"/>
  <c r="AJ191" i="3" s="1"/>
  <c r="AJ111" i="3" a="1"/>
  <c r="AJ111" i="3" s="1"/>
  <c r="H111" i="3" a="1"/>
  <c r="H111" i="3" s="1"/>
  <c r="J111" i="3" a="1"/>
  <c r="J111" i="3" s="1"/>
  <c r="AJ186" i="3" a="1"/>
  <c r="AJ186" i="3" s="1"/>
  <c r="AL186" i="3" a="1"/>
  <c r="AL186" i="3" s="1"/>
  <c r="J186" i="3" a="1"/>
  <c r="J186" i="3" s="1"/>
  <c r="H186" i="3" a="1"/>
  <c r="H186" i="3" s="1"/>
  <c r="AL111" i="3" a="1"/>
  <c r="AL111" i="3" s="1"/>
  <c r="AJ258" i="3" a="1"/>
  <c r="AJ258" i="3" s="1"/>
  <c r="J114" i="3" a="1"/>
  <c r="J114" i="3" s="1"/>
  <c r="AJ114" i="3" a="1"/>
  <c r="AJ114" i="3" s="1"/>
  <c r="AL258" i="3" a="1"/>
  <c r="AL258" i="3" s="1"/>
  <c r="H114" i="3" a="1"/>
  <c r="H114" i="3" s="1"/>
  <c r="AL114" i="3" a="1"/>
  <c r="AL114" i="3" s="1"/>
  <c r="J258" i="3" a="1"/>
  <c r="J258" i="3" s="1"/>
  <c r="H258" i="3" a="1"/>
  <c r="H258" i="3" s="1"/>
  <c r="K186" i="3" a="1"/>
  <c r="K186" i="3" s="1"/>
  <c r="M111" i="3" a="1"/>
  <c r="M111" i="3" s="1"/>
  <c r="AM186" i="3" a="1"/>
  <c r="AM186" i="3" s="1"/>
  <c r="M186" i="3" a="1"/>
  <c r="M186" i="3" s="1"/>
  <c r="AO111" i="3" a="1"/>
  <c r="AO111" i="3" s="1"/>
  <c r="K111" i="3" a="1"/>
  <c r="K111" i="3" s="1"/>
  <c r="AM111" i="3" a="1"/>
  <c r="AM111" i="3" s="1"/>
  <c r="AO186" i="3" a="1"/>
  <c r="AO186" i="3" s="1"/>
  <c r="G113" i="3"/>
  <c r="G257" i="3"/>
  <c r="G186" i="3"/>
  <c r="G111" i="3"/>
  <c r="G114" i="3"/>
  <c r="G258" i="3"/>
  <c r="G191" i="3"/>
  <c r="G112" i="3"/>
  <c r="G405" i="3"/>
  <c r="F322" i="6" l="1"/>
  <c r="D189" i="6" l="1"/>
  <c r="D188" i="6"/>
  <c r="D187" i="6"/>
  <c r="D186" i="6"/>
  <c r="D185" i="6"/>
  <c r="D184" i="6"/>
  <c r="D183" i="6"/>
  <c r="D182" i="6"/>
  <c r="AM185" i="3" l="1" a="1"/>
  <c r="AM185" i="3" s="1"/>
  <c r="AO110" i="3" a="1"/>
  <c r="AO110" i="3" s="1"/>
  <c r="K185" i="3" a="1"/>
  <c r="K185" i="3" s="1"/>
  <c r="K110" i="3" a="1"/>
  <c r="K110" i="3" s="1"/>
  <c r="AO185" i="3" a="1"/>
  <c r="AO185" i="3" s="1"/>
  <c r="M110" i="3" a="1"/>
  <c r="M110" i="3" s="1"/>
  <c r="M185" i="3" a="1"/>
  <c r="M185" i="3" s="1"/>
  <c r="AM110" i="3" a="1"/>
  <c r="AM110" i="3" s="1"/>
  <c r="H189" i="3" l="1" a="1"/>
  <c r="H189" i="3" s="1"/>
  <c r="J189" i="3" a="1"/>
  <c r="J189" i="3" s="1"/>
  <c r="AL189" i="3" a="1"/>
  <c r="AL189" i="3" s="1"/>
  <c r="AJ189" i="3" a="1"/>
  <c r="AJ189" i="3" s="1"/>
  <c r="N189" i="3" a="1"/>
  <c r="N189" i="3" s="1"/>
  <c r="AP189" i="3" a="1"/>
  <c r="AP189" i="3" s="1"/>
  <c r="P189" i="3" a="1"/>
  <c r="P189" i="3" s="1"/>
  <c r="AR189" i="3" a="1"/>
  <c r="AR189" i="3" s="1"/>
  <c r="G189" i="3"/>
  <c r="AL110" i="3" l="1" a="1"/>
  <c r="AL110" i="3" s="1"/>
  <c r="AJ110" i="3" a="1"/>
  <c r="AJ110" i="3" s="1"/>
  <c r="AL185" i="3" a="1"/>
  <c r="AL185" i="3" s="1"/>
  <c r="H185" i="3" a="1"/>
  <c r="H185" i="3" s="1"/>
  <c r="J185" i="3" a="1"/>
  <c r="J185" i="3" s="1"/>
  <c r="J110" i="3" a="1"/>
  <c r="J110" i="3" s="1"/>
  <c r="AJ185" i="3" a="1"/>
  <c r="AJ185" i="3" s="1"/>
  <c r="H110" i="3" a="1"/>
  <c r="H110" i="3" s="1"/>
  <c r="AM189" i="3" a="1"/>
  <c r="AM189" i="3" s="1"/>
  <c r="AO189" i="3" a="1"/>
  <c r="AO189" i="3" s="1"/>
  <c r="M189" i="3" a="1"/>
  <c r="M189" i="3" s="1"/>
  <c r="K189" i="3" a="1"/>
  <c r="K189" i="3" s="1"/>
  <c r="G110" i="3"/>
  <c r="G185" i="3"/>
  <c r="G190" i="3" l="1"/>
  <c r="AR117" i="3" l="1" a="1"/>
  <c r="AR117" i="3" s="1"/>
  <c r="P117" i="3" a="1"/>
  <c r="P117" i="3" s="1"/>
  <c r="N117" i="3" a="1"/>
  <c r="N117" i="3" s="1"/>
  <c r="AP117" i="3" a="1"/>
  <c r="AP117" i="3" s="1"/>
  <c r="K117" i="3" a="1"/>
  <c r="K117" i="3" s="1"/>
  <c r="AO117" i="3" a="1"/>
  <c r="AO117" i="3" s="1"/>
  <c r="AM117" i="3" a="1"/>
  <c r="AM117" i="3" s="1"/>
  <c r="M117" i="3" a="1"/>
  <c r="M117" i="3" s="1"/>
  <c r="H41" i="5"/>
  <c r="AR192" i="3" l="1" a="1"/>
  <c r="AR192" i="3" s="1"/>
  <c r="P192" i="3" a="1"/>
  <c r="P192" i="3" s="1"/>
  <c r="AP192" i="3" a="1"/>
  <c r="AP192" i="3" s="1"/>
  <c r="N192" i="3" a="1"/>
  <c r="N192" i="3" s="1"/>
  <c r="AJ117" i="3" l="1" a="1"/>
  <c r="AJ117" i="3" s="1"/>
  <c r="H117" i="3" a="1"/>
  <c r="H117" i="3" s="1"/>
  <c r="J117" i="3" a="1"/>
  <c r="J117" i="3" s="1"/>
  <c r="AL117" i="3" a="1"/>
  <c r="AL117" i="3" s="1"/>
  <c r="J192" i="3" a="1"/>
  <c r="J192" i="3" s="1"/>
  <c r="AL192" i="3" a="1"/>
  <c r="AL192" i="3" s="1"/>
  <c r="H192" i="3" a="1"/>
  <c r="H192" i="3" s="1"/>
  <c r="AJ192" i="3" a="1"/>
  <c r="AJ192" i="3" s="1"/>
  <c r="M192" i="3" a="1"/>
  <c r="M192" i="3" s="1"/>
  <c r="AM192" i="3" a="1"/>
  <c r="AM192" i="3" s="1"/>
  <c r="K192" i="3" a="1"/>
  <c r="K192" i="3" s="1"/>
  <c r="AO192" i="3" a="1"/>
  <c r="AO192" i="3" s="1"/>
  <c r="G192" i="3"/>
  <c r="G117" i="3"/>
  <c r="F321" i="6" l="1"/>
  <c r="F320" i="6"/>
  <c r="F319" i="6"/>
  <c r="F184" i="6" l="1"/>
  <c r="F187" i="6"/>
  <c r="F185" i="6"/>
  <c r="F186" i="6"/>
  <c r="F182" i="6"/>
  <c r="F188" i="6"/>
  <c r="F190" i="6" l="1"/>
  <c r="F11" i="6"/>
  <c r="F12" i="6"/>
  <c r="F13" i="6" l="1"/>
  <c r="H159" i="5"/>
  <c r="AC189" i="6" l="1" a="1"/>
  <c r="AC189" i="6" s="1"/>
  <c r="I189" i="6" a="1"/>
  <c r="I189" i="6" s="1"/>
  <c r="J189" i="6" a="1"/>
  <c r="J189" i="6" s="1"/>
  <c r="AB189" i="6" a="1"/>
  <c r="AB189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<sst xmlns="http://schemas.openxmlformats.org/spreadsheetml/2006/main" count="1881" uniqueCount="357">
  <si>
    <t>Upplýsingar um skjalið</t>
  </si>
  <si>
    <t>Úrgangur</t>
  </si>
  <si>
    <t>Landbúnaður</t>
  </si>
  <si>
    <t>Orka</t>
  </si>
  <si>
    <t>%</t>
  </si>
  <si>
    <r>
      <t>Þús. tonn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-íg.</t>
    </r>
  </si>
  <si>
    <t>Fiskiskip</t>
  </si>
  <si>
    <t>Vegasamgöngur</t>
  </si>
  <si>
    <t>Innanlandsflug</t>
  </si>
  <si>
    <t>Strandsiglingar</t>
  </si>
  <si>
    <t>Vélar og tæki</t>
  </si>
  <si>
    <t>Jarðvarmavirkjanir</t>
  </si>
  <si>
    <t>Annað</t>
  </si>
  <si>
    <t>Samtals</t>
  </si>
  <si>
    <t>ORKA</t>
  </si>
  <si>
    <t>ÚRGANGUR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</si>
  <si>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</si>
  <si>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</si>
  <si>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</si>
  <si>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</si>
  <si>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</si>
  <si>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</si>
  <si>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</si>
  <si>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>Sauðfé</t>
  </si>
  <si>
    <t>Hestar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</si>
  <si>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</si>
  <si>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</si>
  <si>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</si>
  <si>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</si>
  <si>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</si>
  <si>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</si>
  <si>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</si>
  <si>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</si>
  <si>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</si>
  <si>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Kælibúnaður (F-gös)</t>
  </si>
  <si>
    <t>SÖGULEG LOSUN</t>
  </si>
  <si>
    <t>Orka*</t>
  </si>
  <si>
    <t>Iðnaður**</t>
  </si>
  <si>
    <r>
      <t xml:space="preserve">Samtals
</t>
    </r>
    <r>
      <rPr>
        <sz val="8"/>
        <color theme="1"/>
        <rFont val="Avenir Next LT Pro"/>
        <family val="2"/>
      </rPr>
      <t>- Miðað við losunarbókhald</t>
    </r>
  </si>
  <si>
    <r>
      <t xml:space="preserve">Samtals
</t>
    </r>
    <r>
      <rPr>
        <sz val="8"/>
        <color theme="1"/>
        <rFont val="Avenir Next LT Pro"/>
        <family val="2"/>
      </rPr>
      <t>- Miðað við JCD 29/2022***</t>
    </r>
  </si>
  <si>
    <r>
      <t xml:space="preserve">Samtals*
</t>
    </r>
    <r>
      <rPr>
        <sz val="8"/>
        <color theme="1"/>
        <rFont val="Avenir Next LT Pro"/>
        <family val="2"/>
      </rPr>
      <t>- Miðað við JCD 29/2022</t>
    </r>
  </si>
  <si>
    <t>JCD 29/2022</t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</si>
  <si>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frá innanlandsflugi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</si>
  <si>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</si>
  <si>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</si>
  <si>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 xml:space="preserve">     Skv. losunarbókaldi</t>
  </si>
  <si>
    <t>Eldsneytisbruni, staðbundinn iðnaður</t>
  </si>
  <si>
    <t>Kísil- og kísilmálmframleiðsla</t>
  </si>
  <si>
    <t>Losunarúthlutanir*</t>
  </si>
  <si>
    <t>LANDBÚNAÐUR</t>
  </si>
  <si>
    <t>1. Energykt CO2-eq</t>
  </si>
  <si>
    <t>2. Industrial processes and product usekt CO2-eq</t>
  </si>
  <si>
    <t>3. Agriculturekt CO2-eq</t>
  </si>
  <si>
    <t>4. LULUCFkt CO2-eq</t>
  </si>
  <si>
    <t>5. Wastekt CO2-eq</t>
  </si>
  <si>
    <t>National Total, with LULUCFkt CO2-eq</t>
  </si>
  <si>
    <t xml:space="preserve"> </t>
  </si>
  <si>
    <t>National Total, without LULUCFkt CO2-eq</t>
  </si>
  <si>
    <t>1.A.4.c.iii Agriculture/Forestry/Fishing - Fishing kt CO2-eq</t>
  </si>
  <si>
    <t>1.A.3.b Road transportationkt CO2-eq</t>
  </si>
  <si>
    <t>1.A.3.a Domestic aviationkt CO2-eq</t>
  </si>
  <si>
    <t>1.A.3.dDomestic navigationkt CO2-eq</t>
  </si>
  <si>
    <t>1.A.2.g.vii Off road vehicles and other machinerykt CO2-eq</t>
  </si>
  <si>
    <t>1.B.2.d Geothermal Energykt CO2-eq</t>
  </si>
  <si>
    <t>2.A Mineral Industrykt CO2-eq</t>
  </si>
  <si>
    <t>2.B Chemical Industrykt CO2-eq</t>
  </si>
  <si>
    <t>2.C.3 Aluminium productionkt CO2-eq</t>
  </si>
  <si>
    <t>2.D non-energy products from fuels and solvent usekt CO2-eq</t>
  </si>
  <si>
    <t>2.F Product uses as substitutes for ODSkt CO2-eq</t>
  </si>
  <si>
    <t>2.G Other product manufacture and usekt CO2-eq</t>
  </si>
  <si>
    <t>3.A Enteric fermentationkt CO2-eq</t>
  </si>
  <si>
    <t>3.B Manure managmentkt CO2-eq</t>
  </si>
  <si>
    <t>3.D Agricultural soilskt CO2-eq</t>
  </si>
  <si>
    <t>3.G Limingkt CO2-eq</t>
  </si>
  <si>
    <t>3.A.1 Cattlekt CO2-eq</t>
  </si>
  <si>
    <t>3.B.1.1Cattlekt CO2-eq</t>
  </si>
  <si>
    <t>3.B.2.1Cattlekt CO2-eq</t>
  </si>
  <si>
    <t>3.A.2 Sheepkt CO2-eq</t>
  </si>
  <si>
    <t>3.B.1.2Sheep kt CO2-eq</t>
  </si>
  <si>
    <t>3.B.2.2Sheep kt CO2-eq</t>
  </si>
  <si>
    <t>3.A.4 Other livestock  - Horseskt CO2-eq</t>
  </si>
  <si>
    <t>3.B.1.4Other livestock  - Horseskt CO2-eq</t>
  </si>
  <si>
    <t>3.B.2.4Other livestock  - Horseskt CO2-eq</t>
  </si>
  <si>
    <t>3.D.1.6 Cultivation of organic soils (i.e. histosols)kt CO2-eq</t>
  </si>
  <si>
    <t>5.A Solid waste disposalkt CO2-eq</t>
  </si>
  <si>
    <t>5.B Biological treatment of solid wastekt CO2-eq</t>
  </si>
  <si>
    <t>5.C Incineration and open burning of wastekt CO2-eq</t>
  </si>
  <si>
    <t>5.D Wastewater handlingkt CO2-eq</t>
  </si>
  <si>
    <t>4.A Forest Landkt CO2-eq</t>
  </si>
  <si>
    <t>4.B Croplandkt CO2-eq</t>
  </si>
  <si>
    <t>4.C Grasslandkt CO2-eq</t>
  </si>
  <si>
    <t>4.D Wetlandskt CO2-eq</t>
  </si>
  <si>
    <t>1.D.1.a International Aviationkt CO2-eq</t>
  </si>
  <si>
    <t>1.D.1.b International Navigation kt CO2-eq</t>
  </si>
  <si>
    <t>1.A.3.e.ii Other (please specify) kt CO2-eq</t>
  </si>
  <si>
    <t>1.A.4.c.ii Agriculture/Forestry/Fishing - Off-road vehicles and other machinerykt CO2-eq</t>
  </si>
  <si>
    <t>3.H Urea applicationkt CO2-eq</t>
  </si>
  <si>
    <t>3.I Other carbon-containing fertilizerskt CO2-eq</t>
  </si>
  <si>
    <t>ETS TotalGHGskt CO2eq</t>
  </si>
  <si>
    <t>1A3aiiCO2Gg CO2 eq</t>
  </si>
  <si>
    <t>ETS Energy EmissionsGHGskt CO2eq</t>
  </si>
  <si>
    <t>2C2FerroalloysGHGskt CO2eq</t>
  </si>
  <si>
    <t>2C3AluminumGHGskt CO2eq</t>
  </si>
  <si>
    <t>1.A.3.b.i Cars kt CO2-eq</t>
  </si>
  <si>
    <t>1.A.3.b.ii Light duty trucks kt CO2-eq</t>
  </si>
  <si>
    <t>1.A.3.b.iii Heavy duty trucks and buses kt CO2-eq</t>
  </si>
  <si>
    <t>1.A.3.b.iv Motorcycles kt CO2-eq</t>
  </si>
  <si>
    <r>
      <t>Innanlandsflug (CO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)</t>
    </r>
  </si>
  <si>
    <t>1.A.3.b RoadTransport ktCO2e</t>
  </si>
  <si>
    <t>Mobile Machinery</t>
  </si>
  <si>
    <t>ESD Other</t>
  </si>
  <si>
    <t>JCD2005</t>
  </si>
  <si>
    <t>Fólksbílar</t>
  </si>
  <si>
    <t>Sendibifreiðar</t>
  </si>
  <si>
    <t>Hóp- og flutningabifreiðar</t>
  </si>
  <si>
    <t>Bifhjól</t>
  </si>
  <si>
    <t>Skógar</t>
  </si>
  <si>
    <t>LULUCF Annað</t>
  </si>
  <si>
    <t>National Total, without LULUCF OTHER kt CO2-eq</t>
  </si>
  <si>
    <t>1. Energy OTHER kt CO2-eq</t>
  </si>
  <si>
    <t>Fuel combustion in stationary industry kt CO2e</t>
  </si>
  <si>
    <t>2 IPPU OTHER kt CO2e</t>
  </si>
  <si>
    <t>Liming and CO2 from fertilizers kt CO2e</t>
  </si>
  <si>
    <r>
      <t>Kölkun og 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-losun frá áburði</t>
    </r>
  </si>
  <si>
    <t>Fertilzer use in agriculture kt CO2e</t>
  </si>
  <si>
    <t>Cattle kt CO2e</t>
  </si>
  <si>
    <t>Sheep kt CO2e</t>
  </si>
  <si>
    <t>Horses kt CO2e</t>
  </si>
  <si>
    <t>Agriculture Other kt CO2e</t>
  </si>
  <si>
    <t>MARKMIÐ OG SKULDBINDINGAR</t>
  </si>
  <si>
    <t>eftir helstu uppsprettum</t>
  </si>
  <si>
    <t>LOSUN GRÓÐURHÚSALOFTTEGUNDA INNAN SAMFÉLAGSLOSUNAR</t>
  </si>
  <si>
    <t>(áður kallað losun á beinni ábyrgð Íslands)</t>
  </si>
  <si>
    <t>LOSUN GRÓÐURHÚSALOFTTEGUNDA Á ÍSLANDI</t>
  </si>
  <si>
    <t>Önnur flokkaskipting</t>
  </si>
  <si>
    <t>Alþjóðasamgöngur</t>
  </si>
  <si>
    <r>
      <t xml:space="preserve">LOSUN GRÓÐURHÚSALOFTTEGUNDA FRÁ </t>
    </r>
    <r>
      <rPr>
        <b/>
        <sz val="24"/>
        <color theme="7"/>
        <rFont val="Avenir Next LT Pro"/>
        <family val="2"/>
      </rPr>
      <t>STAÐBUNDUM IÐNAÐI</t>
    </r>
    <r>
      <rPr>
        <b/>
        <sz val="24"/>
        <color theme="0"/>
        <rFont val="Avenir Next LT Pro"/>
        <family val="2"/>
      </rPr>
      <t xml:space="preserve"> UNDIR ETS KERFI</t>
    </r>
  </si>
  <si>
    <t>ESR EmissionsGHGskt CO2eq</t>
  </si>
  <si>
    <t xml:space="preserve">   þar af þvagefni</t>
  </si>
  <si>
    <t xml:space="preserve">   þar af kölkun</t>
  </si>
  <si>
    <t xml:space="preserve">   þar af annar áburður sem inniheldur kolefni</t>
  </si>
  <si>
    <t xml:space="preserve">   Fólksbílar</t>
  </si>
  <si>
    <t xml:space="preserve">   Sendibifreiðar</t>
  </si>
  <si>
    <t xml:space="preserve">   Hóp- og flutningabifreiðar</t>
  </si>
  <si>
    <t xml:space="preserve">   Bifhjól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</si>
  <si>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</si>
  <si>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</si>
  <si>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</si>
  <si>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</si>
  <si>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</si>
  <si>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</si>
  <si>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Hér má breyta &gt;&gt;</t>
  </si>
  <si>
    <t>Almennt ekki talið til heildarlosunar ríkja. Losunin er að hluta innan ETS kerfisins.</t>
  </si>
  <si>
    <t>Ræktað land</t>
  </si>
  <si>
    <t>Domestic Aviation (CO₂)</t>
  </si>
  <si>
    <t>Energy</t>
  </si>
  <si>
    <t>Industry</t>
  </si>
  <si>
    <t>Agriculture</t>
  </si>
  <si>
    <t>Waste</t>
  </si>
  <si>
    <t>Söguleg losun | Historical Emissions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</si>
  <si>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</t>
  </si>
  <si>
    <t>Sá hluti iðnaðar sem fellur ekki undir beina ábyrgð stjórnvalda er CO2 og PFC losun fyrirtækja sem eru hluti af viðskiptakerfi ESB | Emissions from industry not included under the ESR are CO2 and PFC emission from entities under the ETS</t>
  </si>
  <si>
    <t>ETS staðbundinn iðnaður</t>
  </si>
  <si>
    <t>ETS Stationary Emissions</t>
  </si>
  <si>
    <t>Samfélagslosun</t>
  </si>
  <si>
    <t>ESR</t>
  </si>
  <si>
    <t>LULUCF</t>
  </si>
  <si>
    <t>Landnotkun (LULUCF)</t>
  </si>
  <si>
    <t>Losun frá innanlandsflugi er að hluta innan ETS | Emissions from domestic aviation are partly included in the ETS</t>
  </si>
  <si>
    <t>Samtals með LULUCF | Total with LULUCF</t>
  </si>
  <si>
    <t>Samtals án LULUCF | Total without LULUCF</t>
  </si>
  <si>
    <t>Samtals | Total</t>
  </si>
  <si>
    <r>
      <t>Í ákvörðun sameiginlegu EES-nefndar nr. 29/2022 (JCD) var samfélagslosun Íslands (losun undir beina ábyrgð Íslands) árið 2005 metin 3.109.329 kg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In the EEA's Joint Committee Decision (JCD) n. 29/2022, Iceland's ESR emissions in 2005 were assesed to ammount to 3,109,329 kg CO2e.</t>
    </r>
  </si>
  <si>
    <t>Fishing</t>
  </si>
  <si>
    <t>F-Gases</t>
  </si>
  <si>
    <t>Other</t>
  </si>
  <si>
    <t>Geothermal Energy</t>
  </si>
  <si>
    <t>Off-Road Vehicles and Other Machinery</t>
  </si>
  <si>
    <t>Solid Waste Disposal on Land</t>
  </si>
  <si>
    <t>Land use, Land-Use Change and Forestry (LULUCF)</t>
  </si>
  <si>
    <t>Liming</t>
  </si>
  <si>
    <t>Urea</t>
  </si>
  <si>
    <t>Other fertilizers with carbon</t>
  </si>
  <si>
    <t>Önnur flokkaskipting | Alternative Categorization</t>
  </si>
  <si>
    <t>Cattle</t>
  </si>
  <si>
    <t>Sheep</t>
  </si>
  <si>
    <t>Horses</t>
  </si>
  <si>
    <t>Cropland</t>
  </si>
  <si>
    <t>Grassland</t>
  </si>
  <si>
    <t>Wetlands</t>
  </si>
  <si>
    <t>ÚRGANGUR | WASTE</t>
  </si>
  <si>
    <t>Biological Treatment of Solid Waste</t>
  </si>
  <si>
    <t>Incineration and Open Burning</t>
  </si>
  <si>
    <t>Wastewater Treatment and Discharge</t>
  </si>
  <si>
    <t>Aluminium Production</t>
  </si>
  <si>
    <t>Ferrosilicon and Silicon Metal Production</t>
  </si>
  <si>
    <t>Road Transport</t>
  </si>
  <si>
    <t xml:space="preserve">     Skv. JCD 29/2022*</t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</si>
  <si>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</si>
  <si>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>ETS** staðbundinn iðnaður</t>
  </si>
  <si>
    <r>
      <t>*** Um er að ræða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losun vegna alls innanlandsflugs á Íslandi. Losun frá innanlandsflugi er að hluta innan ETS og að hluta ekki.</t>
    </r>
  </si>
  <si>
    <r>
      <t>Innanlandsflug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</t>
    </r>
    <r>
      <rPr>
        <sz val="11"/>
        <color theme="1"/>
        <rFont val="Avenir Next LT Pro"/>
        <family val="2"/>
      </rPr>
      <t>*</t>
    </r>
  </si>
  <si>
    <t>** Viðskiptakerfi ESB með losunarheimildir (ETS), kom á fót 2005</t>
  </si>
  <si>
    <t>EMISSION OF GREENHOUSE GASES ACCORDING TO OBLIGATIONS</t>
  </si>
  <si>
    <r>
      <t>Thousand tons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-eq.</t>
    </r>
  </si>
  <si>
    <t>Effort Sharing Regulation</t>
  </si>
  <si>
    <t xml:space="preserve">     According to national inventory</t>
  </si>
  <si>
    <t xml:space="preserve">     According to JCD 29/2022*</t>
  </si>
  <si>
    <t>Land use, land use change, and forestry (LULUCF)</t>
  </si>
  <si>
    <t>ETS Stationary Industry**</t>
  </si>
  <si>
    <r>
      <t>Domestic aviation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***</t>
    </r>
  </si>
  <si>
    <t>Total</t>
  </si>
  <si>
    <t>* In the EEA's Joint Committee Decision (JCD) n. 29/2022, Iceland's ESR emissions in 2005 were assesed to amount to 3,109,329 kg CO2-eq.</t>
  </si>
  <si>
    <t>** EU Emissions Trading System (ETS), launched in 2005</t>
  </si>
  <si>
    <t>** Emissions from domestic aviation are partly covered under the ETS</t>
  </si>
  <si>
    <t>HISTORICAL EMISSIONS</t>
  </si>
  <si>
    <t>Thousand tons CO2-eq.</t>
  </si>
  <si>
    <t>Energy*</t>
  </si>
  <si>
    <t>Industry**</t>
  </si>
  <si>
    <r>
      <t xml:space="preserve">Total
</t>
    </r>
    <r>
      <rPr>
        <sz val="8"/>
        <rFont val="Avenir Next LT Pro"/>
        <family val="2"/>
      </rPr>
      <t>- According to national inventory</t>
    </r>
  </si>
  <si>
    <r>
      <t xml:space="preserve">Total
</t>
    </r>
    <r>
      <rPr>
        <sz val="8"/>
        <color theme="1"/>
        <rFont val="Avenir Next LT Pro"/>
        <family val="2"/>
      </rPr>
      <t>- According to JCD 29/2022***</t>
    </r>
  </si>
  <si>
    <r>
      <t>* With the exception of fuel combustion of entities under the ETS and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emissions from domestic aviation</t>
    </r>
  </si>
  <si>
    <r>
      <t>** With the exception of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and PFC emissions from entities under the ETS</t>
    </r>
  </si>
  <si>
    <t>*** In the EEA's Joint Committee Decision (JCD) n. 29/2022, Iceland's ESR emissions in 2005 were assesed to amount to 3,109,329 kg CO2-eq.</t>
  </si>
  <si>
    <t>TARGETS AND OBLIGATIONS</t>
  </si>
  <si>
    <t>Road Transportation</t>
  </si>
  <si>
    <r>
      <t xml:space="preserve">Total*
</t>
    </r>
    <r>
      <rPr>
        <sz val="8"/>
        <color theme="1"/>
        <rFont val="Avenir Next LT Pro"/>
        <family val="2"/>
      </rPr>
      <t>- According to JCD 29/2022</t>
    </r>
  </si>
  <si>
    <t>LAND USE, LAND-USE CHANGE AND FORESTRY (LULUCF)</t>
  </si>
  <si>
    <r>
      <t xml:space="preserve">GREENHOUSE GAS EMISSIONS FROM </t>
    </r>
    <r>
      <rPr>
        <b/>
        <sz val="24"/>
        <color theme="7"/>
        <rFont val="Avenir Next LT Pro"/>
        <family val="2"/>
      </rPr>
      <t>STATIONARY INDUSTRY</t>
    </r>
    <r>
      <rPr>
        <b/>
        <sz val="24"/>
        <color theme="0"/>
        <rFont val="Avenir Next LT Pro"/>
        <family val="2"/>
      </rPr>
      <t xml:space="preserve"> UNDER THE ETS</t>
    </r>
  </si>
  <si>
    <t>Fuel Combustion, Stationary Industry</t>
  </si>
  <si>
    <t>GREENHOUSE GAS EMISSIONS IN ICELAND</t>
  </si>
  <si>
    <t>Total, incl. LULUCF</t>
  </si>
  <si>
    <t>Total, without LULUCF</t>
  </si>
  <si>
    <t>Main Sources</t>
  </si>
  <si>
    <t>ENERGY</t>
  </si>
  <si>
    <t>Domestic Aviation</t>
  </si>
  <si>
    <t>Domestic Navigation</t>
  </si>
  <si>
    <t>Fuel Combustion in Stationary Industry</t>
  </si>
  <si>
    <t>INDUSTRY AND PRODUCT USE (IPPU)</t>
  </si>
  <si>
    <t>AGRICULTURE</t>
  </si>
  <si>
    <t>Enteric Fermentation</t>
  </si>
  <si>
    <t>Manure Management</t>
  </si>
  <si>
    <t>Agricultural Soils</t>
  </si>
  <si>
    <t>Alternative Categorization</t>
  </si>
  <si>
    <t>Fertilizer Use in Agriculture</t>
  </si>
  <si>
    <t>Other Emissions</t>
  </si>
  <si>
    <t>WASTE</t>
  </si>
  <si>
    <t>INTERNATIONAL TRANSPORTATION</t>
  </si>
  <si>
    <t>Generally not included in national total emissions. Part of these emissions are counted under the ETS.</t>
  </si>
  <si>
    <t>International Aviation</t>
  </si>
  <si>
    <t>International Navigation</t>
  </si>
  <si>
    <t>LANDBÚNAÐUR | AGRICULTURE</t>
  </si>
  <si>
    <t>ALÞJÓÐASAMGÖNGUR | INTERNATIONAL TRANSPORTATION</t>
  </si>
  <si>
    <t>LOSUN EFTIR SKULDBINGUM | EMISSIONS ACCORDING TO OBLIGATIONS</t>
  </si>
  <si>
    <t xml:space="preserve">SAMFÉLAGSLOSUN | EFFORT SHARING REGULATION (ESR)
</t>
  </si>
  <si>
    <t>LANDNOTKUN | LAND USE, LAND-USE CHANGE AND FORESTRY (LULUCF)</t>
  </si>
  <si>
    <r>
      <t xml:space="preserve">LOSUN FRÁ </t>
    </r>
    <r>
      <rPr>
        <b/>
        <sz val="20"/>
        <color theme="7"/>
        <rFont val="Avenir Next LT Pro"/>
        <family val="2"/>
        <scheme val="minor"/>
      </rPr>
      <t>STAÐBUNDUM IÐNAÐI</t>
    </r>
    <r>
      <rPr>
        <b/>
        <sz val="20"/>
        <color theme="0"/>
        <rFont val="Avenir Next LT Pro"/>
        <family val="2"/>
        <scheme val="minor"/>
      </rPr>
      <t xml:space="preserve"> UNDIR ETS KERFI | EMISSION FROM </t>
    </r>
    <r>
      <rPr>
        <b/>
        <sz val="20"/>
        <color theme="7"/>
        <rFont val="Avenir Next LT Pro"/>
        <family val="2"/>
        <scheme val="minor"/>
      </rPr>
      <t>STATIONARY INDUSTRY</t>
    </r>
    <r>
      <rPr>
        <b/>
        <sz val="20"/>
        <color theme="0"/>
        <rFont val="Avenir Next LT Pro"/>
        <family val="2"/>
        <scheme val="minor"/>
      </rPr>
      <t xml:space="preserve"> UNDER THE ETS</t>
    </r>
  </si>
  <si>
    <t>LOSUN FRÁ LANDNOTKUN | EMISSIONS FROM LAND USE, LAND USE-CHANGE AND FORESTRY (LULUCF)</t>
  </si>
  <si>
    <t>Skipt eftir yfirflokkum IPCC | by IPCC sectors</t>
  </si>
  <si>
    <r>
      <t>HEILDARLOSUN</t>
    </r>
    <r>
      <rPr>
        <sz val="24"/>
        <color theme="0"/>
        <rFont val="Avenir Next LT Pro"/>
        <family val="2"/>
        <scheme val="minor"/>
      </rPr>
      <t xml:space="preserve"> | TOTAL EMISSIONS</t>
    </r>
  </si>
  <si>
    <r>
      <t>HEILDARLOSUN (ÁN LANDNOTKUNAR)</t>
    </r>
    <r>
      <rPr>
        <sz val="20"/>
        <color theme="0"/>
        <rFont val="Avenir Next LT Pro"/>
        <family val="2"/>
        <scheme val="minor"/>
      </rPr>
      <t xml:space="preserve"> | TOTAL EMISSIONS (EXCL. LULUCF)</t>
    </r>
  </si>
  <si>
    <r>
      <t xml:space="preserve">ORKA </t>
    </r>
    <r>
      <rPr>
        <sz val="20"/>
        <color theme="0"/>
        <rFont val="Avenir Next LT Pro"/>
        <family val="2"/>
        <scheme val="minor"/>
      </rPr>
      <t>| ENERGY</t>
    </r>
  </si>
  <si>
    <r>
      <t xml:space="preserve">LANDBÚNAÐUR </t>
    </r>
    <r>
      <rPr>
        <sz val="20"/>
        <color theme="0"/>
        <rFont val="Avenir Next LT Pro"/>
        <family val="2"/>
        <scheme val="minor"/>
      </rPr>
      <t>| AGRICULTURE</t>
    </r>
  </si>
  <si>
    <t>Almennt ekki talið til heildarlosunar ríkja. Losunin er að hluta innan ETS kerfisins. | Usually not included in total national emissions. Part of these emissions are counted under the ETS.</t>
  </si>
  <si>
    <t xml:space="preserve">   Mineral Products</t>
  </si>
  <si>
    <t xml:space="preserve">   Chemical Industry</t>
  </si>
  <si>
    <t xml:space="preserve">   Non-Energy Products from Fuels and Solvent Use</t>
  </si>
  <si>
    <t xml:space="preserve">   Product Use</t>
  </si>
  <si>
    <r>
      <t>Liming and CO</t>
    </r>
    <r>
      <rPr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-Emissions from Fertilizers</t>
    </r>
  </si>
  <si>
    <t>Forest Land</t>
  </si>
  <si>
    <t>Industrial Processes and Product Use (IPPU)</t>
  </si>
  <si>
    <r>
      <rPr>
        <b/>
        <sz val="12"/>
        <color theme="0"/>
        <rFont val="Avenir Next LT Pro"/>
        <family val="2"/>
        <scheme val="minor"/>
      </rPr>
      <t>Skjal búið til af</t>
    </r>
    <r>
      <rPr>
        <sz val="12"/>
        <color theme="0"/>
        <rFont val="Avenir Next LT Pro"/>
        <family val="2"/>
        <scheme val="minor"/>
      </rPr>
      <t xml:space="preserve">
Created by</t>
    </r>
  </si>
  <si>
    <r>
      <rPr>
        <b/>
        <sz val="12"/>
        <color theme="0"/>
        <rFont val="Avenir Next LT Pro"/>
        <family val="2"/>
        <scheme val="minor"/>
      </rPr>
      <t>Uppfært af</t>
    </r>
    <r>
      <rPr>
        <sz val="12"/>
        <color theme="0"/>
        <rFont val="Avenir Next LT Pro"/>
        <family val="2"/>
        <scheme val="minor"/>
      </rPr>
      <t xml:space="preserve">
Updated by</t>
    </r>
  </si>
  <si>
    <r>
      <rPr>
        <b/>
        <sz val="12"/>
        <color theme="0"/>
        <rFont val="Avenir Next LT Pro"/>
        <family val="2"/>
        <scheme val="minor"/>
      </rPr>
      <t>Yfirfarið af</t>
    </r>
    <r>
      <rPr>
        <sz val="12"/>
        <color theme="0"/>
        <rFont val="Avenir Next LT Pro"/>
        <family val="2"/>
        <scheme val="minor"/>
      </rPr>
      <t xml:space="preserve">
QC-ed by</t>
    </r>
  </si>
  <si>
    <r>
      <rPr>
        <b/>
        <sz val="12"/>
        <color theme="0"/>
        <rFont val="Avenir Next LT Pro"/>
        <family val="2"/>
        <scheme val="minor"/>
      </rPr>
      <t>Gögn byggð á</t>
    </r>
    <r>
      <rPr>
        <sz val="12"/>
        <color theme="0"/>
        <rFont val="Avenir Next LT Pro"/>
        <family val="2"/>
        <scheme val="minor"/>
      </rPr>
      <t xml:space="preserve">
Data based on</t>
    </r>
  </si>
  <si>
    <r>
      <rPr>
        <b/>
        <sz val="11"/>
        <color theme="1"/>
        <rFont val="Avenir Next LT Pro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Avenir Next LT Pro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</si>
  <si>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rPr>
        <b/>
        <sz val="11"/>
        <color theme="1"/>
        <rFont val="Avenir Next LT Pro"/>
        <family val="2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Avenir Next LT Pro"/>
        <family val="2"/>
      </rPr>
      <t xml:space="preserve">
The numbers in this document were last updated on the above date. Iceland's greenhouse gas inventory is under constant review and, as a result, the numbers can change from time to time.</t>
    </r>
  </si>
  <si>
    <t>Skipt eftir helstu uppsprettum | Main sources</t>
  </si>
  <si>
    <t>GREENHOUSE GAS EMISSIONS UNDER EFFORT SHARING REGULATION (ESR)</t>
  </si>
  <si>
    <t>Skipt eftir helstu uppsprettum</t>
  </si>
  <si>
    <t>By main sources</t>
  </si>
  <si>
    <t>GREENHOUSE GAS EMISSIONS UNDER EFFORT SHARING REGULATION</t>
  </si>
  <si>
    <r>
      <t xml:space="preserve">Samfélagslosun
</t>
    </r>
    <r>
      <rPr>
        <sz val="10"/>
        <color theme="0"/>
        <rFont val="Avenir Next LT Pro"/>
        <family val="2"/>
      </rPr>
      <t>(áður kallað á beinni ábyrgð Íslands)</t>
    </r>
  </si>
  <si>
    <t>LANDNOTKUN (LULUCF)</t>
  </si>
  <si>
    <t>Iðnaður og vörunotkun</t>
  </si>
  <si>
    <r>
      <t xml:space="preserve">IÐNAÐUR OG VÖRUNOTKUN </t>
    </r>
    <r>
      <rPr>
        <sz val="20"/>
        <rFont val="Avenir Next LT Pro"/>
        <family val="2"/>
        <scheme val="minor"/>
      </rPr>
      <t>| INDUSTRY AND PRODUCT USE</t>
    </r>
  </si>
  <si>
    <t xml:space="preserve">Samfélagslosun (áður kallað losun á beinni ábyrgð Íslands) er losun sem fellur undir svokallaða beina ábyrgð ríkja samkvæmt ESB reglugerðinni 2018/842 um sameiginlega ábyrgð (e. Effort Sharing Regulation, ESR). </t>
  </si>
  <si>
    <t>LOSUN GRÓÐURHÚSALOFTTEGUNDA FRÁ LANDNOTKUN (LULUCF)</t>
  </si>
  <si>
    <t>Samtals, með landnotkun</t>
  </si>
  <si>
    <t>Samtals, án landnotkunar</t>
  </si>
  <si>
    <t>IÐNAÐUR OG VÖRUNOTKUN</t>
  </si>
  <si>
    <t>Samtals með landnotkun | Total with LULUCF</t>
  </si>
  <si>
    <t>Samtals án landnotkunar | Total without LULUCF</t>
  </si>
  <si>
    <t>Eftir helstu uppsprettum | by  main sources</t>
  </si>
  <si>
    <t>—</t>
  </si>
  <si>
    <t>Eldsneytisbruni vegna staðbundins iðnaðar</t>
  </si>
  <si>
    <t>1.D.1 international bunkers kt CO2-eq</t>
  </si>
  <si>
    <t>AEAsProxyCalc41</t>
  </si>
  <si>
    <t>ESR Emissionskt CO2eq</t>
  </si>
  <si>
    <t>Energy ESR</t>
  </si>
  <si>
    <t>IPPU ESR</t>
  </si>
  <si>
    <t>Agri ESR</t>
  </si>
  <si>
    <t>Waste ESR</t>
  </si>
  <si>
    <r>
      <rPr>
        <b/>
        <sz val="11"/>
        <color theme="1"/>
        <rFont val="Avenir Next LT Pro"/>
        <family val="2"/>
        <scheme val="minor"/>
      </rPr>
      <t xml:space="preserve">Skil Umhverfisstofnunar til ESB þann 15. janúar 2025
</t>
    </r>
    <r>
      <rPr>
        <sz val="11"/>
        <color theme="1"/>
        <rFont val="Avenir Next LT Pro"/>
        <family val="2"/>
        <scheme val="minor"/>
      </rPr>
      <t>Environment Agency of Iceland's submission to the EU on 15th of January 2025.</t>
    </r>
  </si>
  <si>
    <t>Framræst land (N₂O)</t>
  </si>
  <si>
    <r>
      <t>Cultivation of Organic Soils (N</t>
    </r>
    <r>
      <rPr>
        <vertAlign val="subscript"/>
        <sz val="10"/>
        <rFont val="Avenir Next LT Pro"/>
        <family val="2"/>
        <scheme val="minor"/>
      </rPr>
      <t>₂</t>
    </r>
    <r>
      <rPr>
        <sz val="10"/>
        <rFont val="Avenir Next LT Pro"/>
        <family val="2"/>
        <scheme val="minor"/>
      </rPr>
      <t>O)</t>
    </r>
  </si>
  <si>
    <r>
      <t>** Undanskilin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og PFC losun hjá fyrirtækjum sem eru hluti af viðskiptakerfi ESB með losunarheimildir (ETS)</t>
    </r>
  </si>
  <si>
    <t>* Árlegar losunarheimildir Íslands í samfélagslosun (miðað er við um áætlað nýtt markmið um 41% samdrátt árið 2030 miðað við 2005).</t>
  </si>
  <si>
    <t>* Iceland's annual emission allocations for emissions falling under the scope of the ESR (assuming 41% emission reductions by 2030 compared to 2005).</t>
  </si>
  <si>
    <t>Annual ESR Emission Allocations*</t>
  </si>
  <si>
    <t>Árlegar losunarheimildir Íslands í samfélagslosun (miðað er við um áætlað nýtt markmið um 41% samdrátt árið 2030 miðað við 2005) | Iceland's annual emission allocations for emissions falling under the scope of the ESR (assuming 41% emission reductions by 2030 compared to 2005).</t>
  </si>
  <si>
    <r>
      <t>ESR emissions (</t>
    </r>
    <r>
      <rPr>
        <i/>
        <sz val="12"/>
        <color theme="0"/>
        <rFont val="Avenir Next LT Pro"/>
        <family val="2"/>
      </rPr>
      <t>ísl. samfélagslosun</t>
    </r>
    <r>
      <rPr>
        <sz val="12"/>
        <color theme="0"/>
        <rFont val="Avenir Next LT Pro"/>
        <family val="2"/>
      </rPr>
      <t xml:space="preserve">) refer to the greenhouse gas emissions that fall under the scope of Regulation (EU) 2018/842 (Effort Sharing Regulation, ESR). 
</t>
    </r>
  </si>
  <si>
    <r>
      <t>Þús. tonn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-eq.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</si>
  <si>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-eq.</t>
    </r>
  </si>
  <si>
    <r>
      <t>Þús. tonn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-íg. | kt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-eq.</t>
    </r>
  </si>
  <si>
    <r>
      <t xml:space="preserve">LOSUN FRÁ </t>
    </r>
    <r>
      <rPr>
        <b/>
        <sz val="20"/>
        <color theme="7"/>
        <rFont val="Avenir Next LT Pro"/>
        <family val="2"/>
        <scheme val="minor"/>
      </rPr>
      <t>FLUGI</t>
    </r>
    <r>
      <rPr>
        <b/>
        <sz val="20"/>
        <color theme="0"/>
        <rFont val="Avenir Next LT Pro"/>
        <family val="2"/>
        <scheme val="minor"/>
      </rPr>
      <t xml:space="preserve"> UNDIR ETS KERFI | EMISSIONS </t>
    </r>
    <r>
      <rPr>
        <b/>
        <sz val="20"/>
        <color theme="7"/>
        <rFont val="Avenir Next LT Pro"/>
        <family val="2"/>
        <scheme val="minor"/>
      </rPr>
      <t>FROM FLIGHT OPERATORS</t>
    </r>
    <r>
      <rPr>
        <b/>
        <sz val="20"/>
        <color theme="0"/>
        <rFont val="Avenir Next LT Pro"/>
        <family val="2"/>
        <scheme val="minor"/>
      </rPr>
      <t xml:space="preserve"> UNDER THE ETS</t>
    </r>
  </si>
  <si>
    <r>
      <t xml:space="preserve">Losun þeirra flugrekenda sem Ísland er umsjónarríki fyrir. Losun vegna millilandaflugs er </t>
    </r>
    <r>
      <rPr>
        <b/>
        <sz val="11"/>
        <color theme="0"/>
        <rFont val="Avenir Next LT Pro"/>
        <family val="2"/>
        <scheme val="minor"/>
      </rPr>
      <t>almennt ekki talið til heildarlosunar ríkja</t>
    </r>
    <r>
      <rPr>
        <sz val="11"/>
        <color theme="0"/>
        <rFont val="Avenir Next LT Pro"/>
        <family val="2"/>
        <scheme val="minor"/>
      </rPr>
      <t xml:space="preserve"> |
Usually </t>
    </r>
    <r>
      <rPr>
        <b/>
        <sz val="11"/>
        <color theme="0"/>
        <rFont val="Avenir Next LT Pro"/>
        <family val="2"/>
        <scheme val="minor"/>
      </rPr>
      <t>not included in total national emissions</t>
    </r>
  </si>
  <si>
    <t>Air AtlantaFlugrekandiStaðfest losun</t>
  </si>
  <si>
    <t>Air Atlanta</t>
  </si>
  <si>
    <t>BluebirdFlugrekandiStaðfest losun</t>
  </si>
  <si>
    <t>Bluebird</t>
  </si>
  <si>
    <t>Flugfélag ÍslandsFlugrekandiStaðfest losun</t>
  </si>
  <si>
    <t>Flugfélag Íslands</t>
  </si>
  <si>
    <t>Fly PLAYFlugrekandiStaðfest losun</t>
  </si>
  <si>
    <t>Fly PLAY</t>
  </si>
  <si>
    <t>IcelandairFlugrekandiStaðfest losun</t>
  </si>
  <si>
    <t>Icelandair</t>
  </si>
  <si>
    <t>WOW AirFlugrekandiStaðfest losun</t>
  </si>
  <si>
    <t>WOW Air</t>
  </si>
  <si>
    <t>Papier-MettlerFlugrekandiStaðfest losun</t>
  </si>
  <si>
    <t>Papier-Mettler</t>
  </si>
  <si>
    <t>HeildETSflugSkraningarkerfi</t>
  </si>
  <si>
    <r>
      <t>Þús. tonn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e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</si>
  <si>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e</t>
    </r>
  </si>
  <si>
    <r>
      <t>Þús. tonn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-íg. | kt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e</t>
    </r>
  </si>
  <si>
    <r>
      <t>Tonn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e</t>
    </r>
  </si>
  <si>
    <r>
      <t>Tonn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-íg. | 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e</t>
    </r>
  </si>
  <si>
    <t>2.C.2 Ferroalloys productionkt CO2-eq</t>
  </si>
  <si>
    <t>2.C.1 Iron and Steel productionkt CO2-eq</t>
  </si>
  <si>
    <t xml:space="preserve">   Cars</t>
  </si>
  <si>
    <t xml:space="preserve">   Light Duty Trucks </t>
  </si>
  <si>
    <t xml:space="preserve">   Heavy Duty Trucks and Buses </t>
  </si>
  <si>
    <t xml:space="preserve">   Motorcycles</t>
  </si>
  <si>
    <t xml:space="preserve">   In Constructions</t>
  </si>
  <si>
    <t xml:space="preserve">   In Agriculture</t>
  </si>
  <si>
    <t xml:space="preserve">   Elsewhere</t>
  </si>
  <si>
    <t xml:space="preserve">   Steinefnaiðnaður</t>
  </si>
  <si>
    <t xml:space="preserve">   Efnaiðnaður</t>
  </si>
  <si>
    <t xml:space="preserve">   Járn- og stálframleiðsla</t>
  </si>
  <si>
    <t xml:space="preserve">   Smurefni og leysiefni</t>
  </si>
  <si>
    <t xml:space="preserve">   Efnanotkun</t>
  </si>
  <si>
    <t xml:space="preserve">   of which enteric fermentation</t>
  </si>
  <si>
    <t xml:space="preserve">   of which methane from manure management</t>
  </si>
  <si>
    <t xml:space="preserve">   of which nitrous oxide from manure management</t>
  </si>
  <si>
    <t xml:space="preserve">   Iron and Steel Production</t>
  </si>
  <si>
    <r>
      <t>Chanee Jónsdóttir Thianthong, Umhverfis- og orkustofnun</t>
    </r>
    <r>
      <rPr>
        <sz val="11"/>
        <color theme="1"/>
        <rFont val="Avenir Next LT Pro"/>
        <family val="2"/>
        <scheme val="minor"/>
      </rPr>
      <t>/Icelandic Environment and Energy Agency</t>
    </r>
  </si>
  <si>
    <r>
      <t>Peter Höller, Umhverfis- og orkustofnun</t>
    </r>
    <r>
      <rPr>
        <sz val="11"/>
        <color theme="1"/>
        <rFont val="Avenir Next LT Pro"/>
        <family val="2"/>
        <scheme val="minor"/>
      </rPr>
      <t>/Icelandic Environment and Energy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</si>
</sst>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0"/>
    <numFmt numFmtId="170" formatCode="0.000000"/>
    <numFmt numFmtId="171" formatCode="_-* #,##0.00_-;\-* #,##0.00_-;_-* &quot;-&quot;_-;_-@_-"/>
    <numFmt numFmtId="172" formatCode="0.0000000000000"/>
    <numFmt numFmtId="173" formatCode="0.0000000"/>
  </numFmts>
  <fonts count="114" x14ac:knownFonts="1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b/>
      <sz val="16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b/>
      <sz val="24"/>
      <color theme="0"/>
      <name val="Avenir Next LT Pro"/>
      <family val="2"/>
    </font>
    <font>
      <sz val="11"/>
      <color rgb="FFFFFF00"/>
      <name val="Avenir Next LT Pro"/>
      <family val="2"/>
    </font>
    <font>
      <sz val="11"/>
      <color theme="0" tint="-0.14999847407452621"/>
      <name val="Avenir Next LT Pro"/>
      <family val="2"/>
    </font>
    <font>
      <b/>
      <sz val="16"/>
      <color theme="1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sz val="8"/>
      <color theme="1"/>
      <name val="Avenir Next LT Pro"/>
      <family val="2"/>
    </font>
    <font>
      <sz val="8"/>
      <name val="Avenir Next LT Pro"/>
      <family val="2"/>
      <scheme val="minor"/>
    </font>
    <font>
      <vertAlign val="subscript"/>
      <sz val="8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1"/>
      <name val="Avenir Next LT Pro"/>
      <family val="2"/>
      <scheme val="minor"/>
    </font>
    <font>
      <b/>
      <sz val="8"/>
      <color theme="1"/>
      <name val="Avenir Next LT Pro"/>
      <family val="2"/>
      <scheme val="minor"/>
    </font>
    <font>
      <b/>
      <sz val="24"/>
      <name val="Avenir Next LT Pro"/>
      <family val="2"/>
    </font>
    <font>
      <sz val="10"/>
      <name val="Avenir Next LT Pro"/>
      <family val="2"/>
      <scheme val="minor"/>
    </font>
    <font>
      <b/>
      <sz val="10"/>
      <name val="Avenir Next LT Pro"/>
      <family val="2"/>
      <scheme val="minor"/>
    </font>
    <font>
      <sz val="10"/>
      <color theme="0" tint="-0.499984740745262"/>
      <name val="Avenir Next LT Pro"/>
      <family val="2"/>
      <scheme val="minor"/>
    </font>
    <font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  <scheme val="minor"/>
    </font>
    <font>
      <sz val="14"/>
      <color theme="0"/>
      <name val="Avenir Next LT Pro"/>
      <family val="2"/>
      <scheme val="minor"/>
    </font>
    <font>
      <b/>
      <sz val="14"/>
      <name val="Avenir Next LT Pro"/>
      <family val="2"/>
      <scheme val="minor"/>
    </font>
    <font>
      <sz val="14"/>
      <name val="Avenir Next LT Pro"/>
      <family val="2"/>
      <scheme val="minor"/>
    </font>
    <font>
      <sz val="24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8"/>
      <color theme="1"/>
      <name val="Avenir Next LT Pro Demi"/>
      <family val="2"/>
      <scheme val="major"/>
    </font>
    <font>
      <sz val="11"/>
      <name val="Avenir Next LT Pro"/>
      <family val="2"/>
    </font>
    <font>
      <sz val="11"/>
      <color rgb="FF000000"/>
      <name val="Avenir Next LT Pro"/>
      <family val="2"/>
    </font>
    <font>
      <sz val="9"/>
      <color theme="0" tint="-0.499984740745262"/>
      <name val="Avenir Next LT Pro"/>
      <family val="2"/>
      <scheme val="minor"/>
    </font>
    <font>
      <b/>
      <sz val="11"/>
      <name val="Avenir Next LT Pro"/>
      <family val="2"/>
    </font>
    <font>
      <vertAlign val="subscript"/>
      <sz val="8"/>
      <color theme="1"/>
      <name val="Avenir Next LT Pro"/>
      <family val="2"/>
      <scheme val="minor"/>
    </font>
    <font>
      <sz val="11"/>
      <name val="Calibri"/>
      <family val="2"/>
    </font>
    <font>
      <b/>
      <sz val="14"/>
      <color theme="1"/>
      <name val="Avenir Next LT Pro"/>
      <family val="2"/>
      <scheme val="minor"/>
    </font>
    <font>
      <b/>
      <sz val="14"/>
      <color theme="1"/>
      <name val="Avenir Next LT Pro"/>
      <family val="2"/>
    </font>
    <font>
      <b/>
      <sz val="14"/>
      <name val="Avenir Next LT Pro"/>
      <family val="2"/>
    </font>
    <font>
      <sz val="12"/>
      <color theme="0"/>
      <name val="Avenir Next LT Pro"/>
      <family val="2"/>
      <scheme val="minor"/>
    </font>
    <font>
      <b/>
      <sz val="12"/>
      <color theme="0"/>
      <name val="Avenir Next LT Pro"/>
      <family val="2"/>
      <scheme val="minor"/>
    </font>
    <font>
      <b/>
      <sz val="10"/>
      <color theme="3"/>
      <name val="Avenir Next LT Pro"/>
      <family val="2"/>
      <scheme val="minor"/>
    </font>
    <font>
      <sz val="8"/>
      <color theme="3"/>
      <name val="Avenir Next LT Pro"/>
      <family val="2"/>
      <scheme val="minor"/>
    </font>
    <font>
      <sz val="10"/>
      <color theme="3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sz val="9"/>
      <name val="Avenir Next LT Pro"/>
      <family val="2"/>
      <scheme val="minor"/>
    </font>
    <font>
      <i/>
      <sz val="10"/>
      <color theme="0" tint="-0.499984740745262"/>
      <name val="Avenir Next LT Pro"/>
      <family val="2"/>
      <scheme val="minor"/>
    </font>
    <font>
      <sz val="9"/>
      <color theme="1"/>
      <name val="Avenir Next LT Pro"/>
      <family val="2"/>
      <scheme val="minor"/>
    </font>
    <font>
      <sz val="10"/>
      <color theme="0"/>
      <name val="Avenir Next LT Pro"/>
      <family val="2"/>
      <scheme val="minor"/>
    </font>
    <font>
      <sz val="8"/>
      <color theme="0" tint="-0.499984740745262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vertAlign val="subscript"/>
      <sz val="10"/>
      <name val="Aptos Narrow"/>
      <family val="2"/>
    </font>
    <font>
      <sz val="11"/>
      <color theme="1"/>
      <name val="Aptos Narrow"/>
      <family val="2"/>
    </font>
    <font>
      <sz val="8.8000000000000007"/>
      <color theme="1"/>
      <name val="Avenir Next LT Pro"/>
      <family val="2"/>
    </font>
    <font>
      <sz val="9"/>
      <color theme="0"/>
      <name val="Avenir Next LT Pro"/>
      <family val="2"/>
      <scheme val="minor"/>
    </font>
    <font>
      <b/>
      <sz val="8"/>
      <color theme="0" tint="-0.499984740745262"/>
      <name val="Avenir Next LT Pro"/>
      <family val="2"/>
      <scheme val="minor"/>
    </font>
    <font>
      <sz val="11"/>
      <color theme="0" tint="-0.499984740745262"/>
      <name val="Avenir Next LT Pro"/>
      <family val="2"/>
      <scheme val="minor"/>
    </font>
    <font>
      <i/>
      <sz val="9"/>
      <color theme="0" tint="-0.499984740745262"/>
      <name val="Avenir Next LT Pro"/>
      <family val="2"/>
      <scheme val="minor"/>
    </font>
    <font>
      <i/>
      <sz val="8"/>
      <color theme="0" tint="-0.499984740745262"/>
      <name val="Avenir Next LT Pro"/>
      <family val="2"/>
      <scheme val="minor"/>
    </font>
    <font>
      <sz val="10"/>
      <color theme="0" tint="-0.499984740745262"/>
      <name val="Avenir Next LT Pro"/>
      <family val="2"/>
    </font>
    <font>
      <sz val="8"/>
      <color theme="0" tint="-0.499984740745262"/>
      <name val="Avenir Next LT Pro"/>
      <family val="2"/>
    </font>
    <font>
      <b/>
      <sz val="10"/>
      <color theme="2"/>
      <name val="Avenir Next LT Pro"/>
      <family val="2"/>
      <scheme val="minor"/>
    </font>
    <font>
      <sz val="14"/>
      <color theme="0"/>
      <name val="Avenir Next LT Pro"/>
      <family val="2"/>
    </font>
    <font>
      <b/>
      <sz val="20"/>
      <color theme="0"/>
      <name val="Avenir Next LT Pro"/>
      <family val="2"/>
      <scheme val="minor"/>
    </font>
    <font>
      <b/>
      <sz val="24"/>
      <color theme="0"/>
      <name val="Avenir Next LT Pro"/>
      <family val="2"/>
      <scheme val="minor"/>
    </font>
    <font>
      <sz val="16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1"/>
      <color theme="0" tint="-0.499984740745262"/>
      <name val="Avenir Next LT Pro"/>
      <family val="2"/>
      <scheme val="minor"/>
    </font>
    <font>
      <sz val="24"/>
      <color theme="0" tint="-0.499984740745262"/>
      <name val="Avenir Next LT Pro"/>
      <family val="2"/>
    </font>
    <font>
      <b/>
      <sz val="24"/>
      <color theme="7"/>
      <name val="Avenir Next LT Pro"/>
      <family val="2"/>
    </font>
    <font>
      <sz val="8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rgb="FF008AAC"/>
      <name val="Avenir Next LT Pro"/>
      <family val="2"/>
      <scheme val="minor"/>
    </font>
    <font>
      <i/>
      <sz val="9"/>
      <color theme="0"/>
      <name val="Avenir Next LT Pro"/>
      <family val="2"/>
      <scheme val="minor"/>
    </font>
    <font>
      <b/>
      <sz val="11"/>
      <color rgb="FF855092"/>
      <name val="Avenir Next LT Pro"/>
      <family val="2"/>
      <scheme val="minor"/>
    </font>
    <font>
      <b/>
      <sz val="11"/>
      <color rgb="FFED7D31"/>
      <name val="Avenir Next LT Pro"/>
      <family val="2"/>
      <scheme val="minor"/>
    </font>
    <font>
      <b/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</font>
    <font>
      <b/>
      <sz val="8"/>
      <color theme="3"/>
      <name val="Avenir Next LT Pro"/>
      <family val="2"/>
      <scheme val="minor"/>
    </font>
    <font>
      <vertAlign val="subscript"/>
      <sz val="8"/>
      <color theme="0" tint="-0.499984740745262"/>
      <name val="Avenir Next LT Pro"/>
      <family val="2"/>
      <scheme val="minor"/>
    </font>
    <font>
      <b/>
      <sz val="11"/>
      <color rgb="FF3F566D"/>
      <name val="Avenir Next LT Pro"/>
      <family val="2"/>
      <scheme val="minor"/>
    </font>
    <font>
      <b/>
      <sz val="11"/>
      <color theme="7" tint="-0.249977111117893"/>
      <name val="Avenir Next LT Pro"/>
      <family val="2"/>
      <scheme val="minor"/>
    </font>
    <font>
      <b/>
      <sz val="11"/>
      <color rgb="FF68A200"/>
      <name val="Avenir Next LT Pro"/>
      <family val="2"/>
      <scheme val="minor"/>
    </font>
    <font>
      <b/>
      <sz val="10"/>
      <color rgb="FFC9689E"/>
      <name val="Avenir Next LT Pro"/>
      <family val="2"/>
      <scheme val="minor"/>
    </font>
    <font>
      <b/>
      <sz val="11"/>
      <color theme="7"/>
      <name val="Avenir Next LT Pro"/>
      <family val="2"/>
      <scheme val="minor"/>
    </font>
    <font>
      <sz val="11"/>
      <color theme="9"/>
      <name val="Avenir Next LT Pro"/>
      <family val="2"/>
      <scheme val="minor"/>
    </font>
    <font>
      <sz val="8"/>
      <name val="Avenir Next LT Pro"/>
      <family val="2"/>
    </font>
    <font>
      <b/>
      <sz val="20"/>
      <name val="Avenir Next LT Pro"/>
      <family val="2"/>
      <scheme val="minor"/>
    </font>
    <font>
      <b/>
      <sz val="18"/>
      <color theme="0"/>
      <name val="Avenir Next LT Pro"/>
      <family val="2"/>
      <scheme val="minor"/>
    </font>
    <font>
      <i/>
      <sz val="9"/>
      <name val="Avenir Next LT Pro"/>
      <family val="2"/>
      <scheme val="minor"/>
    </font>
    <font>
      <b/>
      <sz val="11"/>
      <color rgb="FF23A5D9"/>
      <name val="Avenir Next LT Pro"/>
      <family val="2"/>
      <scheme val="minor"/>
    </font>
    <font>
      <b/>
      <sz val="20"/>
      <color theme="7"/>
      <name val="Avenir Next LT Pro"/>
      <family val="2"/>
      <scheme val="minor"/>
    </font>
    <font>
      <b/>
      <sz val="22"/>
      <color theme="0"/>
      <name val="Avenir Next LT Pro"/>
      <family val="2"/>
      <scheme val="minor"/>
    </font>
    <font>
      <sz val="24"/>
      <color theme="0"/>
      <name val="Avenir Next LT Pro"/>
      <family val="2"/>
      <scheme val="minor"/>
    </font>
    <font>
      <sz val="20"/>
      <color theme="0"/>
      <name val="Avenir Next LT Pro"/>
      <family val="2"/>
      <scheme val="minor"/>
    </font>
    <font>
      <sz val="20"/>
      <name val="Avenir Next LT Pro"/>
      <family val="2"/>
      <scheme val="minor"/>
    </font>
    <font>
      <sz val="10"/>
      <name val="Aptos Narrow"/>
      <family val="2"/>
    </font>
    <font>
      <sz val="12"/>
      <color theme="0"/>
      <name val="Avenir Next LT Pro"/>
      <family val="2"/>
    </font>
    <font>
      <b/>
      <sz val="36"/>
      <name val="Avenir Next LT Pro"/>
      <family val="2"/>
      <scheme val="minor"/>
    </font>
    <font>
      <b/>
      <sz val="12"/>
      <color theme="0"/>
      <name val="Avenir Next LT Pro"/>
      <family val="2"/>
    </font>
    <font>
      <sz val="10"/>
      <color theme="0"/>
      <name val="Avenir Next LT Pro"/>
      <family val="2"/>
    </font>
    <font>
      <sz val="16"/>
      <color theme="1"/>
      <name val="Avenir Next LT Pro"/>
      <family val="2"/>
      <scheme val="minor"/>
    </font>
    <font>
      <sz val="18"/>
      <color theme="1"/>
      <name val="Avenir Next LT Pro"/>
      <family val="2"/>
      <scheme val="minor"/>
    </font>
    <font>
      <i/>
      <sz val="12"/>
      <color theme="0"/>
      <name val="Avenir Next LT Pro"/>
      <family val="2"/>
    </font>
    <font>
      <sz val="11"/>
      <color theme="0"/>
      <name val="Aptos Narrow"/>
      <family val="2"/>
    </font>
    <font>
      <b/>
      <sz val="8"/>
      <name val="Avenir Next LT Pro"/>
      <family val="2"/>
      <scheme val="minor"/>
    </font>
    <font>
      <b/>
      <sz val="10"/>
      <color theme="0" tint="-4.9989318521683403E-2"/>
      <name val="Avenir Next LT Pro"/>
      <family val="2"/>
      <scheme val="minor"/>
    </font>
    <font>
      <sz val="9"/>
      <color rgb="FFFF0000"/>
      <name val="Avenir Next LT Pro"/>
      <family val="2"/>
      <scheme val="minor"/>
    </font>
    <font>
      <b/>
      <sz val="9"/>
      <color theme="0" tint="-0.499984740745262"/>
      <name val="Avenir Next LT Pro"/>
      <family val="2"/>
      <scheme val="minor"/>
    </font>
    <font>
      <b/>
      <sz val="8"/>
      <name val="Avenir Next LT Pro"/>
      <family val="2"/>
    </font>
    <font>
      <b/>
      <sz val="24"/>
      <color theme="0" tint="-0.499984740745262"/>
      <name val="Avenir Next LT Pro"/>
      <family val="2"/>
    </font>
    <font>
      <b/>
      <sz val="10"/>
      <color theme="0" tint="-0.499984740745262"/>
      <name val="Avenir Next LT Pro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23A5D9"/>
        <bgColor indexed="64"/>
      </patternFill>
    </fill>
    <fill>
      <patternFill patternType="solid">
        <fgColor rgb="FFC9689E"/>
        <bgColor indexed="64"/>
      </patternFill>
    </fill>
    <fill>
      <patternFill patternType="solid">
        <fgColor rgb="FF63A280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rgb="FFE4FFB3"/>
        <bgColor indexed="64"/>
      </patternFill>
    </fill>
    <fill>
      <patternFill patternType="solid">
        <fgColor rgb="FF41A86E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844">
    <xf numFmtId="0" fontId="0" fillId="0" borderId="0" xfId="0"/>
    <xf numFmtId="0" fontId="0" fillId="2" borderId="0" xfId="0" applyFill="1"/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1" fontId="6" fillId="2" borderId="0" xfId="0" applyNumberFormat="1" applyFont="1" applyFill="1" applyAlignment="1">
      <alignment vertical="center"/>
    </xf>
    <xf numFmtId="9" fontId="6" fillId="2" borderId="0" xfId="0" applyNumberFormat="1" applyFont="1" applyFill="1" applyAlignment="1">
      <alignment vertical="center"/>
    </xf>
    <xf numFmtId="9" fontId="6" fillId="2" borderId="0" xfId="1" applyFont="1" applyFill="1" applyBorder="1" applyAlignment="1">
      <alignment horizontal="center" vertical="center"/>
    </xf>
    <xf numFmtId="0" fontId="18" fillId="2" borderId="0" xfId="0" applyFont="1" applyFill="1"/>
    <xf numFmtId="0" fontId="1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9" fontId="11" fillId="2" borderId="0" xfId="1" applyFont="1" applyFill="1" applyBorder="1" applyAlignment="1">
      <alignment horizontal="center" vertical="center"/>
    </xf>
    <xf numFmtId="9" fontId="6" fillId="2" borderId="0" xfId="1" applyFont="1" applyFill="1" applyBorder="1"/>
    <xf numFmtId="9" fontId="6" fillId="2" borderId="0" xfId="0" applyNumberFormat="1" applyFont="1" applyFill="1"/>
    <xf numFmtId="1" fontId="6" fillId="2" borderId="0" xfId="0" applyNumberFormat="1" applyFont="1" applyFill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1" fontId="22" fillId="0" borderId="0" xfId="0" applyNumberFormat="1" applyFont="1"/>
    <xf numFmtId="0" fontId="18" fillId="0" borderId="0" xfId="0" applyFont="1"/>
    <xf numFmtId="0" fontId="17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1" xfId="0" applyFill="1" applyBorder="1"/>
    <xf numFmtId="0" fontId="31" fillId="8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9" fontId="6" fillId="2" borderId="2" xfId="1" applyFont="1" applyFill="1" applyBorder="1" applyAlignment="1">
      <alignment horizontal="center" vertical="center"/>
    </xf>
    <xf numFmtId="9" fontId="11" fillId="2" borderId="3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9" fontId="11" fillId="2" borderId="4" xfId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" fontId="33" fillId="10" borderId="2" xfId="0" applyNumberFormat="1" applyFont="1" applyFill="1" applyBorder="1" applyAlignment="1">
      <alignment vertical="center"/>
    </xf>
    <xf numFmtId="1" fontId="33" fillId="10" borderId="2" xfId="0" applyNumberFormat="1" applyFont="1" applyFill="1" applyBorder="1"/>
    <xf numFmtId="164" fontId="6" fillId="2" borderId="2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18" fillId="2" borderId="0" xfId="1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top"/>
    </xf>
    <xf numFmtId="165" fontId="18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9" fontId="18" fillId="2" borderId="2" xfId="1" applyFont="1" applyFill="1" applyBorder="1" applyAlignment="1">
      <alignment horizontal="center" vertical="center"/>
    </xf>
    <xf numFmtId="9" fontId="18" fillId="2" borderId="0" xfId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9" fontId="18" fillId="2" borderId="3" xfId="1" applyFon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1" fontId="17" fillId="2" borderId="11" xfId="0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17" fillId="2" borderId="0" xfId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left" vertical="center" wrapText="1"/>
    </xf>
    <xf numFmtId="9" fontId="4" fillId="2" borderId="2" xfId="1" applyFont="1" applyFill="1" applyBorder="1" applyAlignment="1">
      <alignment horizontal="center" vertical="center"/>
    </xf>
    <xf numFmtId="164" fontId="17" fillId="2" borderId="2" xfId="1" applyNumberFormat="1" applyFont="1" applyFill="1" applyBorder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1" fontId="37" fillId="2" borderId="6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center"/>
    </xf>
    <xf numFmtId="1" fontId="22" fillId="0" borderId="0" xfId="0" applyNumberFormat="1" applyFont="1" applyAlignment="1">
      <alignment vertical="center" wrapText="1"/>
    </xf>
    <xf numFmtId="0" fontId="15" fillId="8" borderId="2" xfId="0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164" fontId="17" fillId="2" borderId="9" xfId="1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1" fontId="33" fillId="10" borderId="4" xfId="0" applyNumberFormat="1" applyFont="1" applyFill="1" applyBorder="1"/>
    <xf numFmtId="164" fontId="6" fillId="2" borderId="4" xfId="1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35" fillId="11" borderId="2" xfId="0" applyFont="1" applyFill="1" applyBorder="1" applyAlignment="1">
      <alignment vertical="center" wrapText="1"/>
    </xf>
    <xf numFmtId="0" fontId="35" fillId="8" borderId="2" xfId="0" applyFont="1" applyFill="1" applyBorder="1" applyAlignment="1">
      <alignment vertical="center" wrapText="1"/>
    </xf>
    <xf numFmtId="1" fontId="21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18" fillId="2" borderId="0" xfId="1" applyNumberFormat="1" applyFont="1" applyFill="1" applyBorder="1" applyAlignment="1">
      <alignment horizontal="center" vertical="center"/>
    </xf>
    <xf numFmtId="165" fontId="21" fillId="0" borderId="0" xfId="0" applyNumberFormat="1" applyFont="1"/>
    <xf numFmtId="10" fontId="6" fillId="2" borderId="2" xfId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165" fontId="18" fillId="2" borderId="6" xfId="0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8" fillId="2" borderId="4" xfId="1" applyNumberFormat="1" applyFont="1" applyFill="1" applyBorder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" fontId="6" fillId="2" borderId="2" xfId="0" applyNumberFormat="1" applyFont="1" applyFill="1" applyBorder="1" applyAlignment="1">
      <alignment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7" fillId="2" borderId="10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10" fontId="18" fillId="2" borderId="2" xfId="1" applyNumberFormat="1" applyFont="1" applyFill="1" applyBorder="1" applyAlignment="1">
      <alignment horizontal="center" vertical="center"/>
    </xf>
    <xf numFmtId="9" fontId="18" fillId="2" borderId="4" xfId="1" applyFont="1" applyFill="1" applyBorder="1" applyAlignment="1">
      <alignment horizontal="center" vertical="center"/>
    </xf>
    <xf numFmtId="9" fontId="17" fillId="2" borderId="8" xfId="1" applyFont="1" applyFill="1" applyBorder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9" fontId="18" fillId="2" borderId="0" xfId="0" applyNumberFormat="1" applyFont="1" applyFill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10" fontId="11" fillId="2" borderId="4" xfId="1" applyNumberFormat="1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0" borderId="0" xfId="0" applyFont="1"/>
    <xf numFmtId="1" fontId="2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9" fontId="22" fillId="0" borderId="0" xfId="1" applyFont="1"/>
    <xf numFmtId="164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1" fontId="18" fillId="2" borderId="0" xfId="0" applyNumberFormat="1" applyFont="1" applyFill="1" applyAlignment="1">
      <alignment vertical="center"/>
    </xf>
    <xf numFmtId="9" fontId="0" fillId="2" borderId="0" xfId="1" applyFont="1" applyFill="1" applyAlignment="1">
      <alignment horizontal="center" vertical="center"/>
    </xf>
    <xf numFmtId="1" fontId="32" fillId="2" borderId="2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9" fontId="17" fillId="2" borderId="4" xfId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right" vertical="center"/>
    </xf>
    <xf numFmtId="0" fontId="17" fillId="2" borderId="0" xfId="0" applyFont="1" applyFill="1"/>
    <xf numFmtId="1" fontId="18" fillId="0" borderId="0" xfId="0" applyNumberFormat="1" applyFont="1"/>
    <xf numFmtId="0" fontId="47" fillId="2" borderId="0" xfId="0" applyFont="1" applyFill="1" applyAlignment="1">
      <alignment horizontal="center"/>
    </xf>
    <xf numFmtId="1" fontId="22" fillId="2" borderId="0" xfId="0" applyNumberFormat="1" applyFont="1" applyFill="1"/>
    <xf numFmtId="1" fontId="19" fillId="2" borderId="0" xfId="0" applyNumberFormat="1" applyFont="1" applyFill="1" applyAlignment="1">
      <alignment horizontal="center" vertical="center"/>
    </xf>
    <xf numFmtId="1" fontId="48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left" vertical="center"/>
    </xf>
    <xf numFmtId="165" fontId="22" fillId="2" borderId="0" xfId="0" applyNumberFormat="1" applyFont="1" applyFill="1"/>
    <xf numFmtId="9" fontId="15" fillId="0" borderId="0" xfId="1" applyFont="1"/>
    <xf numFmtId="1" fontId="51" fillId="0" borderId="0" xfId="0" applyNumberFormat="1" applyFont="1" applyAlignment="1">
      <alignment horizontal="left" vertical="center"/>
    </xf>
    <xf numFmtId="165" fontId="51" fillId="0" borderId="0" xfId="0" applyNumberFormat="1" applyFont="1"/>
    <xf numFmtId="0" fontId="51" fillId="0" borderId="0" xfId="0" applyFont="1"/>
    <xf numFmtId="165" fontId="18" fillId="2" borderId="0" xfId="0" applyNumberFormat="1" applyFont="1" applyFill="1"/>
    <xf numFmtId="164" fontId="18" fillId="2" borderId="0" xfId="1" applyNumberFormat="1" applyFont="1" applyFill="1"/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/>
    <xf numFmtId="0" fontId="2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7" fontId="21" fillId="0" borderId="0" xfId="0" applyNumberFormat="1" applyFont="1"/>
    <xf numFmtId="168" fontId="21" fillId="0" borderId="0" xfId="0" applyNumberFormat="1" applyFont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" fontId="17" fillId="2" borderId="6" xfId="0" applyNumberFormat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1" fontId="18" fillId="2" borderId="6" xfId="1" applyNumberFormat="1" applyFont="1" applyFill="1" applyBorder="1" applyAlignment="1">
      <alignment horizontal="center" vertical="center"/>
    </xf>
    <xf numFmtId="165" fontId="18" fillId="2" borderId="6" xfId="1" applyNumberFormat="1" applyFont="1" applyFill="1" applyBorder="1" applyAlignment="1">
      <alignment horizontal="center" vertical="center"/>
    </xf>
    <xf numFmtId="1" fontId="17" fillId="2" borderId="6" xfId="1" applyNumberFormat="1" applyFont="1" applyFill="1" applyBorder="1" applyAlignment="1">
      <alignment horizontal="center" vertical="center"/>
    </xf>
    <xf numFmtId="166" fontId="18" fillId="2" borderId="2" xfId="1" applyNumberFormat="1" applyFont="1" applyFill="1" applyBorder="1" applyAlignment="1">
      <alignment horizontal="center" vertical="center"/>
    </xf>
    <xf numFmtId="164" fontId="17" fillId="2" borderId="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4" fillId="2" borderId="0" xfId="0" applyNumberFormat="1" applyFont="1" applyFill="1" applyAlignment="1">
      <alignment horizontal="center"/>
    </xf>
    <xf numFmtId="0" fontId="27" fillId="9" borderId="0" xfId="0" applyFont="1" applyFill="1" applyAlignment="1">
      <alignment vertical="center"/>
    </xf>
    <xf numFmtId="0" fontId="28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vertical="center"/>
    </xf>
    <xf numFmtId="1" fontId="51" fillId="0" borderId="0" xfId="0" applyNumberFormat="1" applyFont="1" applyAlignment="1">
      <alignment horizontal="center" vertical="center"/>
    </xf>
    <xf numFmtId="1" fontId="51" fillId="0" borderId="0" xfId="0" applyNumberFormat="1" applyFont="1"/>
    <xf numFmtId="1" fontId="22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" fontId="51" fillId="0" borderId="0" xfId="0" applyNumberFormat="1" applyFont="1" applyAlignment="1">
      <alignment vertical="center"/>
    </xf>
    <xf numFmtId="1" fontId="22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2" fillId="2" borderId="4" xfId="0" applyNumberFormat="1" applyFont="1" applyFill="1" applyBorder="1" applyAlignment="1">
      <alignment horizontal="left" vertical="center" wrapText="1"/>
    </xf>
    <xf numFmtId="0" fontId="35" fillId="6" borderId="2" xfId="0" applyFont="1" applyFill="1" applyBorder="1" applyAlignment="1">
      <alignment vertical="center" wrapText="1"/>
    </xf>
    <xf numFmtId="0" fontId="23" fillId="0" borderId="0" xfId="0" applyFont="1"/>
    <xf numFmtId="9" fontId="57" fillId="0" borderId="0" xfId="1" applyFont="1"/>
    <xf numFmtId="9" fontId="51" fillId="0" borderId="0" xfId="0" applyNumberFormat="1" applyFont="1"/>
    <xf numFmtId="9" fontId="51" fillId="0" borderId="0" xfId="1" applyFont="1"/>
    <xf numFmtId="164" fontId="0" fillId="2" borderId="0" xfId="1" applyNumberFormat="1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1" fontId="56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 vertical="center"/>
    </xf>
    <xf numFmtId="0" fontId="31" fillId="11" borderId="0" xfId="0" applyFont="1" applyFill="1" applyAlignment="1">
      <alignment vertical="center"/>
    </xf>
    <xf numFmtId="0" fontId="61" fillId="2" borderId="2" xfId="0" applyFont="1" applyFill="1" applyBorder="1" applyAlignment="1">
      <alignment horizontal="left" vertical="center"/>
    </xf>
    <xf numFmtId="166" fontId="61" fillId="2" borderId="2" xfId="1" applyNumberFormat="1" applyFont="1" applyFill="1" applyBorder="1" applyAlignment="1">
      <alignment horizontal="center" vertical="center"/>
    </xf>
    <xf numFmtId="10" fontId="61" fillId="2" borderId="2" xfId="1" applyNumberFormat="1" applyFont="1" applyFill="1" applyBorder="1" applyAlignment="1">
      <alignment horizontal="center" vertical="center"/>
    </xf>
    <xf numFmtId="9" fontId="61" fillId="2" borderId="2" xfId="1" applyFont="1" applyFill="1" applyBorder="1" applyAlignment="1">
      <alignment horizontal="center" vertical="center"/>
    </xf>
    <xf numFmtId="9" fontId="61" fillId="2" borderId="0" xfId="1" applyFont="1" applyFill="1" applyBorder="1" applyAlignment="1">
      <alignment horizontal="center" vertical="center"/>
    </xf>
    <xf numFmtId="164" fontId="61" fillId="2" borderId="2" xfId="1" applyNumberFormat="1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left" vertical="center"/>
    </xf>
    <xf numFmtId="10" fontId="61" fillId="2" borderId="4" xfId="1" applyNumberFormat="1" applyFont="1" applyFill="1" applyBorder="1" applyAlignment="1">
      <alignment horizontal="center" vertical="center"/>
    </xf>
    <xf numFmtId="9" fontId="61" fillId="2" borderId="4" xfId="1" applyFont="1" applyFill="1" applyBorder="1" applyAlignment="1">
      <alignment horizontal="center" vertical="center"/>
    </xf>
    <xf numFmtId="9" fontId="61" fillId="2" borderId="3" xfId="1" applyFont="1" applyFill="1" applyBorder="1" applyAlignment="1">
      <alignment horizontal="center" vertical="center"/>
    </xf>
    <xf numFmtId="166" fontId="62" fillId="2" borderId="2" xfId="1" applyNumberFormat="1" applyFont="1" applyFill="1" applyBorder="1" applyAlignment="1">
      <alignment horizontal="center" vertical="center"/>
    </xf>
    <xf numFmtId="9" fontId="62" fillId="2" borderId="2" xfId="1" applyFont="1" applyFill="1" applyBorder="1" applyAlignment="1">
      <alignment horizontal="center" vertical="center"/>
    </xf>
    <xf numFmtId="0" fontId="63" fillId="2" borderId="0" xfId="0" applyFont="1" applyFill="1" applyAlignment="1">
      <alignment horizontal="left" vertical="center"/>
    </xf>
    <xf numFmtId="0" fontId="11" fillId="15" borderId="2" xfId="0" applyFont="1" applyFill="1" applyBorder="1" applyAlignment="1">
      <alignment vertical="center" wrapText="1"/>
    </xf>
    <xf numFmtId="0" fontId="15" fillId="15" borderId="0" xfId="0" applyFont="1" applyFill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31" fillId="15" borderId="0" xfId="0" applyFont="1" applyFill="1" applyAlignment="1">
      <alignment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4" xfId="0" applyNumberFormat="1" applyFont="1" applyFill="1" applyBorder="1" applyAlignment="1">
      <alignment vertical="center"/>
    </xf>
    <xf numFmtId="1" fontId="22" fillId="2" borderId="9" xfId="0" applyNumberFormat="1" applyFont="1" applyFill="1" applyBorder="1" applyAlignment="1">
      <alignment vertical="center"/>
    </xf>
    <xf numFmtId="0" fontId="66" fillId="13" borderId="0" xfId="0" applyFont="1" applyFill="1" applyAlignment="1">
      <alignment vertical="center"/>
    </xf>
    <xf numFmtId="9" fontId="68" fillId="2" borderId="0" xfId="1" applyFont="1" applyFill="1" applyBorder="1" applyAlignment="1">
      <alignment horizontal="center" vertical="center"/>
    </xf>
    <xf numFmtId="0" fontId="25" fillId="14" borderId="0" xfId="0" applyFont="1" applyFill="1" applyAlignment="1">
      <alignment vertical="center" wrapText="1"/>
    </xf>
    <xf numFmtId="0" fontId="26" fillId="14" borderId="0" xfId="0" applyFont="1" applyFill="1" applyAlignment="1">
      <alignment vertical="center"/>
    </xf>
    <xf numFmtId="1" fontId="18" fillId="13" borderId="0" xfId="0" applyNumberFormat="1" applyFont="1" applyFill="1" applyAlignment="1">
      <alignment vertical="center"/>
    </xf>
    <xf numFmtId="1" fontId="17" fillId="13" borderId="0" xfId="0" applyNumberFormat="1" applyFont="1" applyFill="1" applyAlignment="1">
      <alignment horizontal="center" vertical="center"/>
    </xf>
    <xf numFmtId="1" fontId="17" fillId="13" borderId="0" xfId="0" applyNumberFormat="1" applyFont="1" applyFill="1" applyAlignment="1">
      <alignment vertical="center"/>
    </xf>
    <xf numFmtId="0" fontId="46" fillId="13" borderId="0" xfId="0" applyFont="1" applyFill="1" applyAlignment="1">
      <alignment vertical="center"/>
    </xf>
    <xf numFmtId="1" fontId="23" fillId="2" borderId="0" xfId="0" applyNumberFormat="1" applyFont="1" applyFill="1" applyAlignment="1">
      <alignment horizontal="left" vertical="center"/>
    </xf>
    <xf numFmtId="0" fontId="51" fillId="2" borderId="0" xfId="0" applyFont="1" applyFill="1"/>
    <xf numFmtId="1" fontId="60" fillId="2" borderId="0" xfId="0" applyNumberFormat="1" applyFont="1" applyFill="1" applyAlignment="1">
      <alignment vertic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1" fontId="23" fillId="0" borderId="0" xfId="0" applyNumberFormat="1" applyFont="1" applyAlignment="1">
      <alignment vertical="center"/>
    </xf>
    <xf numFmtId="1" fontId="59" fillId="2" borderId="0" xfId="0" applyNumberFormat="1" applyFont="1" applyFill="1" applyAlignment="1">
      <alignment vertical="center"/>
    </xf>
    <xf numFmtId="0" fontId="58" fillId="2" borderId="0" xfId="0" applyFont="1" applyFill="1"/>
    <xf numFmtId="0" fontId="58" fillId="2" borderId="1" xfId="0" applyFont="1" applyFill="1" applyBorder="1"/>
    <xf numFmtId="0" fontId="58" fillId="2" borderId="1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10" fontId="0" fillId="2" borderId="4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1" fontId="1" fillId="2" borderId="4" xfId="0" applyNumberFormat="1" applyFont="1" applyFill="1" applyBorder="1" applyAlignment="1">
      <alignment horizontal="left" vertical="center" wrapText="1"/>
    </xf>
    <xf numFmtId="1" fontId="52" fillId="16" borderId="0" xfId="0" applyNumberFormat="1" applyFont="1" applyFill="1" applyAlignment="1">
      <alignment vertical="center"/>
    </xf>
    <xf numFmtId="0" fontId="52" fillId="16" borderId="2" xfId="0" applyFont="1" applyFill="1" applyBorder="1" applyAlignment="1">
      <alignment vertical="center"/>
    </xf>
    <xf numFmtId="165" fontId="52" fillId="16" borderId="5" xfId="0" applyNumberFormat="1" applyFont="1" applyFill="1" applyBorder="1" applyAlignment="1">
      <alignment vertical="center"/>
    </xf>
    <xf numFmtId="164" fontId="52" fillId="16" borderId="0" xfId="0" applyNumberFormat="1" applyFont="1" applyFill="1" applyAlignment="1">
      <alignment vertical="center"/>
    </xf>
    <xf numFmtId="49" fontId="72" fillId="16" borderId="0" xfId="0" applyNumberFormat="1" applyFont="1" applyFill="1" applyAlignment="1">
      <alignment horizontal="left" vertical="center" wrapText="1"/>
    </xf>
    <xf numFmtId="49" fontId="72" fillId="16" borderId="4" xfId="0" applyNumberFormat="1" applyFont="1" applyFill="1" applyBorder="1" applyAlignment="1">
      <alignment horizontal="left" vertical="center" wrapText="1"/>
    </xf>
    <xf numFmtId="0" fontId="73" fillId="16" borderId="2" xfId="0" applyFont="1" applyFill="1" applyBorder="1" applyAlignment="1">
      <alignment horizontal="left" vertical="center" wrapText="1"/>
    </xf>
    <xf numFmtId="1" fontId="46" fillId="16" borderId="5" xfId="0" applyNumberFormat="1" applyFont="1" applyFill="1" applyBorder="1" applyAlignment="1">
      <alignment horizontal="center" vertical="center"/>
    </xf>
    <xf numFmtId="9" fontId="46" fillId="16" borderId="0" xfId="1" applyFont="1" applyFill="1" applyBorder="1" applyAlignment="1">
      <alignment horizontal="center" vertical="center"/>
    </xf>
    <xf numFmtId="1" fontId="46" fillId="16" borderId="6" xfId="0" applyNumberFormat="1" applyFont="1" applyFill="1" applyBorder="1" applyAlignment="1">
      <alignment horizontal="center" vertical="center"/>
    </xf>
    <xf numFmtId="0" fontId="73" fillId="17" borderId="4" xfId="0" applyFont="1" applyFill="1" applyBorder="1" applyAlignment="1">
      <alignment horizontal="left" vertical="center" wrapText="1"/>
    </xf>
    <xf numFmtId="0" fontId="73" fillId="18" borderId="2" xfId="0" applyFont="1" applyFill="1" applyBorder="1" applyAlignment="1">
      <alignment horizontal="left" vertical="center" wrapText="1"/>
    </xf>
    <xf numFmtId="1" fontId="46" fillId="17" borderId="6" xfId="0" applyNumberFormat="1" applyFont="1" applyFill="1" applyBorder="1" applyAlignment="1">
      <alignment horizontal="center" vertical="center"/>
    </xf>
    <xf numFmtId="1" fontId="46" fillId="17" borderId="6" xfId="1" applyNumberFormat="1" applyFont="1" applyFill="1" applyBorder="1" applyAlignment="1">
      <alignment horizontal="center" vertical="center"/>
    </xf>
    <xf numFmtId="164" fontId="46" fillId="17" borderId="4" xfId="1" applyNumberFormat="1" applyFont="1" applyFill="1" applyBorder="1" applyAlignment="1">
      <alignment horizontal="center" vertical="center"/>
    </xf>
    <xf numFmtId="9" fontId="46" fillId="17" borderId="3" xfId="1" applyFont="1" applyFill="1" applyBorder="1" applyAlignment="1">
      <alignment horizontal="center" vertical="center"/>
    </xf>
    <xf numFmtId="1" fontId="46" fillId="18" borderId="6" xfId="0" applyNumberFormat="1" applyFont="1" applyFill="1" applyBorder="1" applyAlignment="1">
      <alignment horizontal="center" vertical="center"/>
    </xf>
    <xf numFmtId="9" fontId="46" fillId="18" borderId="9" xfId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7" fillId="17" borderId="0" xfId="0" applyFont="1" applyFill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35" fillId="19" borderId="2" xfId="0" applyFont="1" applyFill="1" applyBorder="1" applyAlignment="1">
      <alignment vertical="center" wrapText="1"/>
    </xf>
    <xf numFmtId="0" fontId="15" fillId="19" borderId="0" xfId="0" applyFont="1" applyFill="1" applyAlignment="1">
      <alignment horizontal="center" vertical="center"/>
    </xf>
    <xf numFmtId="0" fontId="15" fillId="19" borderId="2" xfId="0" applyFont="1" applyFill="1" applyBorder="1" applyAlignment="1">
      <alignment horizontal="center" vertical="center"/>
    </xf>
    <xf numFmtId="0" fontId="31" fillId="19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9" fontId="21" fillId="20" borderId="0" xfId="1" applyFont="1" applyFill="1" applyAlignment="1">
      <alignment horizontal="center" vertical="center"/>
    </xf>
    <xf numFmtId="0" fontId="28" fillId="20" borderId="0" xfId="0" applyFont="1" applyFill="1" applyAlignment="1">
      <alignment vertical="center"/>
    </xf>
    <xf numFmtId="0" fontId="66" fillId="20" borderId="0" xfId="0" applyFont="1" applyFill="1" applyAlignment="1">
      <alignment horizontal="left" vertical="center"/>
    </xf>
    <xf numFmtId="0" fontId="21" fillId="22" borderId="0" xfId="0" applyFont="1" applyFill="1" applyAlignment="1">
      <alignment horizontal="center" vertical="center"/>
    </xf>
    <xf numFmtId="165" fontId="28" fillId="22" borderId="0" xfId="0" applyNumberFormat="1" applyFont="1" applyFill="1" applyAlignment="1">
      <alignment horizontal="center" vertical="center"/>
    </xf>
    <xf numFmtId="165" fontId="28" fillId="22" borderId="0" xfId="0" applyNumberFormat="1" applyFont="1" applyFill="1" applyAlignment="1">
      <alignment vertical="center"/>
    </xf>
    <xf numFmtId="1" fontId="28" fillId="22" borderId="0" xfId="0" applyNumberFormat="1" applyFont="1" applyFill="1" applyAlignment="1">
      <alignment vertical="center"/>
    </xf>
    <xf numFmtId="0" fontId="28" fillId="22" borderId="0" xfId="0" applyFont="1" applyFill="1" applyAlignment="1">
      <alignment vertical="center"/>
    </xf>
    <xf numFmtId="0" fontId="66" fillId="22" borderId="0" xfId="0" applyFont="1" applyFill="1" applyAlignment="1">
      <alignment horizontal="left" vertical="center" wrapText="1"/>
    </xf>
    <xf numFmtId="0" fontId="50" fillId="22" borderId="0" xfId="0" applyFont="1" applyFill="1" applyAlignment="1">
      <alignment horizontal="center" vertical="center"/>
    </xf>
    <xf numFmtId="0" fontId="26" fillId="22" borderId="0" xfId="0" applyFont="1" applyFill="1" applyAlignment="1">
      <alignment vertical="center"/>
    </xf>
    <xf numFmtId="0" fontId="66" fillId="23" borderId="0" xfId="0" applyFont="1" applyFill="1" applyAlignment="1">
      <alignment horizontal="left" vertical="center"/>
    </xf>
    <xf numFmtId="0" fontId="50" fillId="23" borderId="0" xfId="0" applyFont="1" applyFill="1" applyAlignment="1">
      <alignment horizontal="center" vertical="center"/>
    </xf>
    <xf numFmtId="165" fontId="26" fillId="23" borderId="0" xfId="0" applyNumberFormat="1" applyFont="1" applyFill="1" applyAlignment="1">
      <alignment horizontal="center" vertical="center"/>
    </xf>
    <xf numFmtId="165" fontId="26" fillId="23" borderId="0" xfId="0" applyNumberFormat="1" applyFont="1" applyFill="1" applyAlignment="1">
      <alignment vertical="center"/>
    </xf>
    <xf numFmtId="1" fontId="26" fillId="23" borderId="0" xfId="0" applyNumberFormat="1" applyFont="1" applyFill="1" applyAlignment="1">
      <alignment vertical="center"/>
    </xf>
    <xf numFmtId="0" fontId="26" fillId="23" borderId="0" xfId="0" applyFont="1" applyFill="1" applyAlignment="1">
      <alignment vertical="center"/>
    </xf>
    <xf numFmtId="0" fontId="66" fillId="24" borderId="0" xfId="0" applyFont="1" applyFill="1" applyAlignment="1">
      <alignment horizontal="left" vertical="center"/>
    </xf>
    <xf numFmtId="0" fontId="50" fillId="24" borderId="0" xfId="0" applyFont="1" applyFill="1" applyAlignment="1">
      <alignment horizontal="center" vertical="center"/>
    </xf>
    <xf numFmtId="165" fontId="26" fillId="24" borderId="0" xfId="0" applyNumberFormat="1" applyFont="1" applyFill="1" applyAlignment="1">
      <alignment horizontal="center" vertical="center"/>
    </xf>
    <xf numFmtId="165" fontId="26" fillId="24" borderId="0" xfId="0" applyNumberFormat="1" applyFont="1" applyFill="1" applyAlignment="1">
      <alignment vertical="center"/>
    </xf>
    <xf numFmtId="1" fontId="26" fillId="24" borderId="0" xfId="0" applyNumberFormat="1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7" fillId="20" borderId="0" xfId="0" applyFont="1" applyFill="1" applyAlignment="1">
      <alignment vertical="center"/>
    </xf>
    <xf numFmtId="0" fontId="7" fillId="20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15" fillId="8" borderId="2" xfId="0" applyFont="1" applyFill="1" applyBorder="1" applyAlignment="1">
      <alignment horizontal="center" vertical="top"/>
    </xf>
    <xf numFmtId="0" fontId="20" fillId="21" borderId="0" xfId="0" applyFont="1" applyFill="1" applyAlignment="1">
      <alignment vertical="center"/>
    </xf>
    <xf numFmtId="0" fontId="20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vertical="center"/>
    </xf>
    <xf numFmtId="0" fontId="7" fillId="22" borderId="0" xfId="0" applyFont="1" applyFill="1" applyAlignment="1">
      <alignment horizontal="left" vertical="center" wrapText="1"/>
    </xf>
    <xf numFmtId="0" fontId="7" fillId="22" borderId="0" xfId="0" applyFont="1" applyFill="1" applyAlignment="1">
      <alignment horizontal="center" vertical="center"/>
    </xf>
    <xf numFmtId="0" fontId="11" fillId="25" borderId="2" xfId="0" applyFont="1" applyFill="1" applyBorder="1" applyAlignment="1">
      <alignment vertical="center" wrapText="1"/>
    </xf>
    <xf numFmtId="0" fontId="15" fillId="25" borderId="0" xfId="0" applyFont="1" applyFill="1" applyAlignment="1">
      <alignment horizontal="center" vertical="center"/>
    </xf>
    <xf numFmtId="0" fontId="15" fillId="25" borderId="2" xfId="0" applyFont="1" applyFill="1" applyBorder="1" applyAlignment="1">
      <alignment horizontal="center" vertical="center"/>
    </xf>
    <xf numFmtId="0" fontId="31" fillId="25" borderId="0" xfId="0" applyFont="1" applyFill="1" applyAlignment="1">
      <alignment vertical="center"/>
    </xf>
    <xf numFmtId="0" fontId="7" fillId="23" borderId="0" xfId="0" applyFont="1" applyFill="1" applyAlignment="1">
      <alignment vertical="center"/>
    </xf>
    <xf numFmtId="0" fontId="7" fillId="23" borderId="0" xfId="0" applyFont="1" applyFill="1" applyAlignment="1">
      <alignment horizontal="center" vertical="center"/>
    </xf>
    <xf numFmtId="0" fontId="7" fillId="24" borderId="0" xfId="0" applyFont="1" applyFill="1" applyAlignment="1">
      <alignment vertical="center"/>
    </xf>
    <xf numFmtId="0" fontId="7" fillId="24" borderId="0" xfId="0" applyFont="1" applyFill="1" applyAlignment="1">
      <alignment horizontal="center" vertical="center"/>
    </xf>
    <xf numFmtId="0" fontId="64" fillId="22" borderId="0" xfId="0" applyFont="1" applyFill="1" applyAlignment="1">
      <alignment horizontal="left" vertical="top"/>
    </xf>
    <xf numFmtId="1" fontId="22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3" fillId="2" borderId="0" xfId="0" applyNumberFormat="1" applyFont="1" applyFill="1" applyAlignment="1">
      <alignment vertical="center"/>
    </xf>
    <xf numFmtId="169" fontId="23" fillId="2" borderId="0" xfId="0" applyNumberFormat="1" applyFont="1" applyFill="1" applyAlignment="1">
      <alignment vertical="center"/>
    </xf>
    <xf numFmtId="170" fontId="23" fillId="2" borderId="0" xfId="0" applyNumberFormat="1" applyFont="1" applyFill="1" applyAlignment="1">
      <alignment horizontal="center" vertical="center"/>
    </xf>
    <xf numFmtId="2" fontId="51" fillId="0" borderId="0" xfId="0" applyNumberFormat="1" applyFont="1"/>
    <xf numFmtId="168" fontId="0" fillId="2" borderId="0" xfId="0" applyNumberFormat="1" applyFill="1" applyAlignment="1">
      <alignment vertical="center"/>
    </xf>
    <xf numFmtId="171" fontId="51" fillId="0" borderId="0" xfId="2" applyNumberFormat="1" applyFont="1"/>
    <xf numFmtId="0" fontId="5" fillId="2" borderId="0" xfId="0" applyFont="1" applyFill="1" applyAlignment="1">
      <alignment vertical="center"/>
    </xf>
    <xf numFmtId="9" fontId="6" fillId="2" borderId="0" xfId="1" applyFont="1" applyFill="1" applyBorder="1" applyAlignment="1">
      <alignment vertical="center"/>
    </xf>
    <xf numFmtId="0" fontId="46" fillId="9" borderId="0" xfId="0" applyFont="1" applyFill="1" applyAlignment="1">
      <alignment horizontal="left" vertical="center"/>
    </xf>
    <xf numFmtId="0" fontId="7" fillId="17" borderId="0" xfId="0" applyFont="1" applyFill="1"/>
    <xf numFmtId="0" fontId="7" fillId="17" borderId="0" xfId="0" applyFont="1" applyFill="1" applyAlignment="1">
      <alignment horizontal="center"/>
    </xf>
    <xf numFmtId="0" fontId="7" fillId="16" borderId="0" xfId="0" applyFont="1" applyFill="1" applyAlignment="1">
      <alignment vertical="top"/>
    </xf>
    <xf numFmtId="0" fontId="7" fillId="16" borderId="0" xfId="0" applyFont="1" applyFill="1" applyAlignment="1">
      <alignment horizontal="center" vertical="top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0" fillId="16" borderId="0" xfId="0" applyFont="1" applyFill="1"/>
    <xf numFmtId="0" fontId="20" fillId="16" borderId="0" xfId="0" applyFont="1" applyFill="1" applyAlignment="1">
      <alignment horizontal="center"/>
    </xf>
    <xf numFmtId="0" fontId="20" fillId="16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0" fontId="7" fillId="22" borderId="0" xfId="0" applyFont="1" applyFill="1"/>
    <xf numFmtId="0" fontId="7" fillId="22" borderId="0" xfId="0" applyFont="1" applyFill="1" applyAlignment="1">
      <alignment horizontal="center"/>
    </xf>
    <xf numFmtId="0" fontId="7" fillId="14" borderId="0" xfId="0" applyFont="1" applyFill="1" applyAlignment="1">
      <alignment vertical="top"/>
    </xf>
    <xf numFmtId="0" fontId="64" fillId="14" borderId="0" xfId="0" applyFont="1" applyFill="1" applyAlignment="1">
      <alignment horizontal="left" vertical="top"/>
    </xf>
    <xf numFmtId="0" fontId="7" fillId="14" borderId="0" xfId="0" applyFont="1" applyFill="1" applyAlignment="1">
      <alignment horizontal="left" vertical="top" wrapText="1"/>
    </xf>
    <xf numFmtId="0" fontId="7" fillId="14" borderId="0" xfId="0" applyFont="1" applyFill="1" applyAlignment="1">
      <alignment horizontal="center" vertical="top"/>
    </xf>
    <xf numFmtId="0" fontId="7" fillId="14" borderId="0" xfId="0" applyFont="1" applyFill="1"/>
    <xf numFmtId="0" fontId="7" fillId="14" borderId="0" xfId="0" applyFont="1" applyFill="1" applyAlignment="1">
      <alignment horizontal="center"/>
    </xf>
    <xf numFmtId="0" fontId="66" fillId="13" borderId="0" xfId="0" applyFont="1" applyFill="1" applyAlignment="1">
      <alignment horizontal="left"/>
    </xf>
    <xf numFmtId="0" fontId="21" fillId="13" borderId="0" xfId="0" applyFont="1" applyFill="1" applyAlignment="1">
      <alignment horizontal="center"/>
    </xf>
    <xf numFmtId="1" fontId="17" fillId="13" borderId="0" xfId="0" applyNumberFormat="1" applyFont="1" applyFill="1" applyAlignment="1">
      <alignment horizontal="center"/>
    </xf>
    <xf numFmtId="1" fontId="17" fillId="13" borderId="0" xfId="0" applyNumberFormat="1" applyFont="1" applyFill="1"/>
    <xf numFmtId="1" fontId="18" fillId="13" borderId="0" xfId="0" applyNumberFormat="1" applyFont="1" applyFill="1"/>
    <xf numFmtId="1" fontId="17" fillId="13" borderId="0" xfId="0" applyNumberFormat="1" applyFont="1" applyFill="1" applyAlignment="1">
      <alignment vertical="top"/>
    </xf>
    <xf numFmtId="1" fontId="18" fillId="13" borderId="0" xfId="0" applyNumberFormat="1" applyFont="1" applyFill="1" applyAlignment="1">
      <alignment vertical="top"/>
    </xf>
    <xf numFmtId="0" fontId="7" fillId="3" borderId="0" xfId="0" applyFont="1" applyFill="1" applyAlignment="1">
      <alignment wrapText="1"/>
    </xf>
    <xf numFmtId="0" fontId="64" fillId="3" borderId="0" xfId="0" applyFont="1" applyFill="1" applyAlignment="1">
      <alignment vertical="top" wrapText="1"/>
    </xf>
    <xf numFmtId="0" fontId="79" fillId="3" borderId="0" xfId="0" applyFont="1" applyFill="1" applyAlignment="1">
      <alignment vertical="top" wrapText="1"/>
    </xf>
    <xf numFmtId="1" fontId="1" fillId="2" borderId="2" xfId="0" applyNumberFormat="1" applyFont="1" applyFill="1" applyBorder="1" applyAlignment="1">
      <alignment horizontal="left" vertical="center" wrapText="1"/>
    </xf>
    <xf numFmtId="0" fontId="0" fillId="2" borderId="13" xfId="0" applyFill="1" applyBorder="1"/>
    <xf numFmtId="165" fontId="18" fillId="2" borderId="13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9" fontId="6" fillId="2" borderId="13" xfId="0" applyNumberFormat="1" applyFont="1" applyFill="1" applyBorder="1"/>
    <xf numFmtId="0" fontId="31" fillId="11" borderId="13" xfId="0" applyFont="1" applyFill="1" applyBorder="1" applyAlignment="1">
      <alignment vertical="center"/>
    </xf>
    <xf numFmtId="0" fontId="20" fillId="16" borderId="13" xfId="0" applyFont="1" applyFill="1" applyBorder="1"/>
    <xf numFmtId="0" fontId="0" fillId="2" borderId="13" xfId="0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7" fillId="16" borderId="13" xfId="0" applyFont="1" applyFill="1" applyBorder="1"/>
    <xf numFmtId="0" fontId="7" fillId="16" borderId="13" xfId="0" applyFont="1" applyFill="1" applyBorder="1" applyAlignment="1">
      <alignment vertical="top"/>
    </xf>
    <xf numFmtId="0" fontId="7" fillId="9" borderId="13" xfId="0" applyFont="1" applyFill="1" applyBorder="1" applyAlignment="1">
      <alignment vertical="center"/>
    </xf>
    <xf numFmtId="0" fontId="31" fillId="6" borderId="13" xfId="0" applyFont="1" applyFill="1" applyBorder="1" applyAlignment="1">
      <alignment vertical="center"/>
    </xf>
    <xf numFmtId="0" fontId="7" fillId="17" borderId="13" xfId="0" applyFont="1" applyFill="1" applyBorder="1" applyAlignment="1">
      <alignment vertical="center"/>
    </xf>
    <xf numFmtId="0" fontId="31" fillId="19" borderId="13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1" fontId="46" fillId="16" borderId="5" xfId="1" applyNumberFormat="1" applyFont="1" applyFill="1" applyBorder="1" applyAlignment="1">
      <alignment horizontal="center" vertical="center"/>
    </xf>
    <xf numFmtId="1" fontId="58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vertical="center"/>
    </xf>
    <xf numFmtId="1" fontId="21" fillId="0" borderId="0" xfId="0" applyNumberFormat="1" applyFont="1" applyAlignment="1">
      <alignment vertical="center" wrapText="1"/>
    </xf>
    <xf numFmtId="1" fontId="21" fillId="0" borderId="0" xfId="0" applyNumberFormat="1" applyFont="1" applyAlignment="1">
      <alignment horizontal="left" vertical="center" wrapText="1"/>
    </xf>
    <xf numFmtId="49" fontId="22" fillId="2" borderId="0" xfId="0" applyNumberFormat="1" applyFont="1" applyFill="1" applyAlignment="1">
      <alignment horizontal="left" vertical="center"/>
    </xf>
    <xf numFmtId="165" fontId="45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164" fontId="80" fillId="2" borderId="0" xfId="1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1" fontId="43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34" fillId="0" borderId="0" xfId="0" applyNumberFormat="1" applyFont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86" fillId="9" borderId="0" xfId="0" applyFont="1" applyFill="1" applyAlignment="1">
      <alignment horizontal="left" vertical="center"/>
    </xf>
    <xf numFmtId="0" fontId="46" fillId="9" borderId="0" xfId="0" applyFont="1" applyFill="1" applyAlignment="1">
      <alignment horizontal="left"/>
    </xf>
    <xf numFmtId="0" fontId="46" fillId="9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/>
    </xf>
    <xf numFmtId="0" fontId="70" fillId="2" borderId="0" xfId="0" applyFont="1" applyFill="1"/>
    <xf numFmtId="0" fontId="46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1" fontId="0" fillId="2" borderId="0" xfId="0" applyNumberFormat="1" applyFill="1"/>
    <xf numFmtId="1" fontId="87" fillId="2" borderId="0" xfId="0" applyNumberFormat="1" applyFont="1" applyFill="1"/>
    <xf numFmtId="0" fontId="65" fillId="17" borderId="0" xfId="0" applyFont="1" applyFill="1" applyAlignment="1">
      <alignment vertical="center"/>
    </xf>
    <xf numFmtId="1" fontId="46" fillId="18" borderId="6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wrapText="1"/>
    </xf>
    <xf numFmtId="0" fontId="79" fillId="3" borderId="13" xfId="0" applyFont="1" applyFill="1" applyBorder="1" applyAlignment="1">
      <alignment vertical="top" wrapText="1"/>
    </xf>
    <xf numFmtId="0" fontId="0" fillId="2" borderId="14" xfId="0" applyFill="1" applyBorder="1"/>
    <xf numFmtId="0" fontId="7" fillId="20" borderId="13" xfId="0" applyFont="1" applyFill="1" applyBorder="1" applyAlignment="1">
      <alignment vertical="center"/>
    </xf>
    <xf numFmtId="0" fontId="0" fillId="2" borderId="13" xfId="0" applyFill="1" applyBorder="1" applyAlignment="1">
      <alignment vertical="top"/>
    </xf>
    <xf numFmtId="0" fontId="20" fillId="21" borderId="13" xfId="0" applyFont="1" applyFill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7" fillId="22" borderId="13" xfId="0" applyFont="1" applyFill="1" applyBorder="1" applyAlignment="1">
      <alignment vertical="center"/>
    </xf>
    <xf numFmtId="0" fontId="31" fillId="25" borderId="13" xfId="0" applyFont="1" applyFill="1" applyBorder="1" applyAlignment="1">
      <alignment vertical="center"/>
    </xf>
    <xf numFmtId="0" fontId="7" fillId="22" borderId="13" xfId="0" applyFont="1" applyFill="1" applyBorder="1"/>
    <xf numFmtId="0" fontId="7" fillId="23" borderId="13" xfId="0" applyFont="1" applyFill="1" applyBorder="1" applyAlignment="1">
      <alignment vertical="center"/>
    </xf>
    <xf numFmtId="0" fontId="7" fillId="24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vertical="center"/>
    </xf>
    <xf numFmtId="0" fontId="7" fillId="14" borderId="13" xfId="0" applyFont="1" applyFill="1" applyBorder="1"/>
    <xf numFmtId="0" fontId="7" fillId="14" borderId="13" xfId="0" applyFont="1" applyFill="1" applyBorder="1" applyAlignment="1">
      <alignment horizontal="left" vertical="top" wrapText="1"/>
    </xf>
    <xf numFmtId="1" fontId="6" fillId="2" borderId="13" xfId="0" applyNumberFormat="1" applyFont="1" applyFill="1" applyBorder="1"/>
    <xf numFmtId="9" fontId="6" fillId="2" borderId="13" xfId="0" applyNumberFormat="1" applyFont="1" applyFill="1" applyBorder="1" applyAlignment="1">
      <alignment vertical="center"/>
    </xf>
    <xf numFmtId="0" fontId="7" fillId="3" borderId="13" xfId="0" applyFont="1" applyFill="1" applyBorder="1"/>
    <xf numFmtId="0" fontId="64" fillId="3" borderId="0" xfId="0" applyFont="1" applyFill="1" applyAlignment="1">
      <alignment vertical="top"/>
    </xf>
    <xf numFmtId="0" fontId="11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center" vertical="top"/>
    </xf>
    <xf numFmtId="1" fontId="1" fillId="2" borderId="2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1" fillId="26" borderId="2" xfId="0" applyFont="1" applyFill="1" applyBorder="1" applyAlignment="1">
      <alignment vertical="center" wrapText="1"/>
    </xf>
    <xf numFmtId="0" fontId="15" fillId="26" borderId="0" xfId="0" applyFont="1" applyFill="1" applyAlignment="1">
      <alignment horizontal="center" vertical="center"/>
    </xf>
    <xf numFmtId="0" fontId="15" fillId="26" borderId="2" xfId="0" applyFont="1" applyFill="1" applyBorder="1" applyAlignment="1">
      <alignment horizontal="center" vertical="center"/>
    </xf>
    <xf numFmtId="0" fontId="65" fillId="13" borderId="0" xfId="0" applyFont="1" applyFill="1"/>
    <xf numFmtId="1" fontId="46" fillId="20" borderId="0" xfId="1" applyNumberFormat="1" applyFont="1" applyFill="1" applyAlignment="1">
      <alignment horizontal="center"/>
    </xf>
    <xf numFmtId="1" fontId="46" fillId="20" borderId="0" xfId="0" applyNumberFormat="1" applyFont="1" applyFill="1"/>
    <xf numFmtId="1" fontId="46" fillId="21" borderId="0" xfId="1" applyNumberFormat="1" applyFont="1" applyFill="1" applyAlignment="1">
      <alignment horizontal="center"/>
    </xf>
    <xf numFmtId="1" fontId="46" fillId="22" borderId="0" xfId="1" applyNumberFormat="1" applyFont="1" applyFill="1" applyAlignment="1">
      <alignment horizontal="center"/>
    </xf>
    <xf numFmtId="1" fontId="46" fillId="22" borderId="0" xfId="0" applyNumberFormat="1" applyFont="1" applyFill="1"/>
    <xf numFmtId="0" fontId="65" fillId="22" borderId="0" xfId="0" applyFont="1" applyFill="1" applyAlignment="1">
      <alignment horizontal="left"/>
    </xf>
    <xf numFmtId="1" fontId="46" fillId="13" borderId="0" xfId="0" applyNumberFormat="1" applyFont="1" applyFill="1" applyAlignment="1">
      <alignment horizontal="center" vertical="top"/>
    </xf>
    <xf numFmtId="1" fontId="46" fillId="13" borderId="0" xfId="0" applyNumberFormat="1" applyFont="1" applyFill="1" applyAlignment="1">
      <alignment vertical="top"/>
    </xf>
    <xf numFmtId="0" fontId="65" fillId="20" borderId="0" xfId="0" applyFont="1" applyFill="1" applyAlignment="1">
      <alignment horizontal="left" vertical="top"/>
    </xf>
    <xf numFmtId="0" fontId="66" fillId="20" borderId="0" xfId="0" applyFont="1" applyFill="1" applyAlignment="1">
      <alignment horizontal="left" vertical="top"/>
    </xf>
    <xf numFmtId="9" fontId="21" fillId="20" borderId="0" xfId="1" applyFont="1" applyFill="1" applyAlignment="1">
      <alignment horizontal="center" vertical="top"/>
    </xf>
    <xf numFmtId="1" fontId="46" fillId="20" borderId="0" xfId="1" applyNumberFormat="1" applyFont="1" applyFill="1" applyAlignment="1">
      <alignment horizontal="center" vertical="top"/>
    </xf>
    <xf numFmtId="1" fontId="46" fillId="20" borderId="0" xfId="0" applyNumberFormat="1" applyFont="1" applyFill="1" applyAlignment="1">
      <alignment vertical="top"/>
    </xf>
    <xf numFmtId="0" fontId="28" fillId="20" borderId="0" xfId="0" applyFont="1" applyFill="1" applyAlignment="1">
      <alignment vertical="top"/>
    </xf>
    <xf numFmtId="0" fontId="65" fillId="20" borderId="0" xfId="0" applyFont="1" applyFill="1" applyAlignment="1">
      <alignment horizontal="left"/>
    </xf>
    <xf numFmtId="0" fontId="30" fillId="21" borderId="0" xfId="0" applyFont="1" applyFill="1" applyAlignment="1">
      <alignment horizontal="left"/>
    </xf>
    <xf numFmtId="0" fontId="50" fillId="21" borderId="0" xfId="0" applyFont="1" applyFill="1" applyAlignment="1">
      <alignment horizontal="center"/>
    </xf>
    <xf numFmtId="1" fontId="46" fillId="21" borderId="0" xfId="0" applyNumberFormat="1" applyFont="1" applyFill="1"/>
    <xf numFmtId="0" fontId="26" fillId="21" borderId="0" xfId="0" applyFont="1" applyFill="1"/>
    <xf numFmtId="0" fontId="89" fillId="21" borderId="0" xfId="0" applyFont="1" applyFill="1" applyAlignment="1">
      <alignment horizontal="left" vertical="top"/>
    </xf>
    <xf numFmtId="0" fontId="30" fillId="21" borderId="0" xfId="0" applyFont="1" applyFill="1" applyAlignment="1">
      <alignment horizontal="left" vertical="top"/>
    </xf>
    <xf numFmtId="0" fontId="89" fillId="21" borderId="0" xfId="0" applyFont="1" applyFill="1" applyAlignment="1">
      <alignment horizontal="left"/>
    </xf>
    <xf numFmtId="0" fontId="65" fillId="22" borderId="0" xfId="0" applyFont="1" applyFill="1" applyAlignment="1">
      <alignment horizontal="left" vertical="top"/>
    </xf>
    <xf numFmtId="0" fontId="66" fillId="22" borderId="0" xfId="0" applyFont="1" applyFill="1" applyAlignment="1">
      <alignment horizontal="left" vertical="top" wrapText="1"/>
    </xf>
    <xf numFmtId="0" fontId="50" fillId="22" borderId="0" xfId="0" applyFont="1" applyFill="1" applyAlignment="1">
      <alignment horizontal="center" vertical="top"/>
    </xf>
    <xf numFmtId="1" fontId="46" fillId="22" borderId="0" xfId="1" applyNumberFormat="1" applyFont="1" applyFill="1" applyAlignment="1">
      <alignment horizontal="center" vertical="top"/>
    </xf>
    <xf numFmtId="1" fontId="46" fillId="22" borderId="0" xfId="0" applyNumberFormat="1" applyFont="1" applyFill="1" applyAlignment="1">
      <alignment vertical="top"/>
    </xf>
    <xf numFmtId="0" fontId="26" fillId="22" borderId="0" xfId="0" applyFont="1" applyFill="1" applyAlignment="1">
      <alignment vertical="top"/>
    </xf>
    <xf numFmtId="0" fontId="26" fillId="22" borderId="0" xfId="0" applyFont="1" applyFill="1" applyAlignment="1">
      <alignment horizontal="left" vertical="top" wrapText="1"/>
    </xf>
    <xf numFmtId="0" fontId="21" fillId="22" borderId="0" xfId="0" applyFont="1" applyFill="1" applyAlignment="1">
      <alignment horizontal="center" vertical="top"/>
    </xf>
    <xf numFmtId="0" fontId="28" fillId="22" borderId="0" xfId="0" applyFont="1" applyFill="1" applyAlignment="1">
      <alignment vertical="top"/>
    </xf>
    <xf numFmtId="1" fontId="46" fillId="23" borderId="0" xfId="1" applyNumberFormat="1" applyFont="1" applyFill="1" applyAlignment="1">
      <alignment horizontal="center" vertical="top"/>
    </xf>
    <xf numFmtId="1" fontId="46" fillId="23" borderId="0" xfId="0" applyNumberFormat="1" applyFont="1" applyFill="1" applyAlignment="1">
      <alignment vertical="top"/>
    </xf>
    <xf numFmtId="0" fontId="66" fillId="24" borderId="0" xfId="0" applyFont="1" applyFill="1" applyAlignment="1">
      <alignment horizontal="left" vertical="top"/>
    </xf>
    <xf numFmtId="0" fontId="50" fillId="24" borderId="0" xfId="0" applyFont="1" applyFill="1" applyAlignment="1">
      <alignment horizontal="center" vertical="top"/>
    </xf>
    <xf numFmtId="0" fontId="26" fillId="24" borderId="0" xfId="0" applyFont="1" applyFill="1" applyAlignment="1">
      <alignment vertical="top"/>
    </xf>
    <xf numFmtId="0" fontId="66" fillId="14" borderId="0" xfId="0" applyFont="1" applyFill="1"/>
    <xf numFmtId="0" fontId="25" fillId="14" borderId="0" xfId="0" applyFont="1" applyFill="1" applyAlignment="1">
      <alignment wrapText="1"/>
    </xf>
    <xf numFmtId="165" fontId="26" fillId="14" borderId="0" xfId="0" applyNumberFormat="1" applyFont="1" applyFill="1" applyAlignment="1">
      <alignment horizontal="center"/>
    </xf>
    <xf numFmtId="165" fontId="26" fillId="14" borderId="0" xfId="0" applyNumberFormat="1" applyFont="1" applyFill="1"/>
    <xf numFmtId="1" fontId="26" fillId="14" borderId="0" xfId="0" applyNumberFormat="1" applyFont="1" applyFill="1"/>
    <xf numFmtId="0" fontId="26" fillId="14" borderId="0" xfId="0" applyFont="1" applyFill="1"/>
    <xf numFmtId="0" fontId="66" fillId="24" borderId="0" xfId="0" applyFont="1" applyFill="1" applyAlignment="1">
      <alignment horizontal="left"/>
    </xf>
    <xf numFmtId="1" fontId="46" fillId="24" borderId="0" xfId="1" applyNumberFormat="1" applyFont="1" applyFill="1" applyAlignment="1">
      <alignment horizontal="center" vertical="top"/>
    </xf>
    <xf numFmtId="1" fontId="46" fillId="24" borderId="0" xfId="0" applyNumberFormat="1" applyFont="1" applyFill="1" applyAlignment="1">
      <alignment vertical="top"/>
    </xf>
    <xf numFmtId="0" fontId="65" fillId="14" borderId="0" xfId="0" applyFont="1" applyFill="1"/>
    <xf numFmtId="1" fontId="46" fillId="14" borderId="0" xfId="1" applyNumberFormat="1" applyFont="1" applyFill="1" applyAlignment="1">
      <alignment horizontal="center" vertical="top"/>
    </xf>
    <xf numFmtId="1" fontId="46" fillId="14" borderId="0" xfId="0" applyNumberFormat="1" applyFont="1" applyFill="1" applyAlignment="1">
      <alignment vertical="top"/>
    </xf>
    <xf numFmtId="0" fontId="66" fillId="13" borderId="0" xfId="0" applyFont="1" applyFill="1" applyAlignment="1">
      <alignment vertical="top"/>
    </xf>
    <xf numFmtId="0" fontId="25" fillId="13" borderId="0" xfId="0" applyFont="1" applyFill="1" applyAlignment="1">
      <alignment vertical="top"/>
    </xf>
    <xf numFmtId="0" fontId="26" fillId="13" borderId="0" xfId="0" applyFont="1" applyFill="1" applyAlignment="1">
      <alignment horizontal="center" vertical="top"/>
    </xf>
    <xf numFmtId="0" fontId="26" fillId="13" borderId="0" xfId="0" applyFont="1" applyFill="1" applyAlignment="1">
      <alignment vertical="top"/>
    </xf>
    <xf numFmtId="0" fontId="66" fillId="13" borderId="0" xfId="0" applyFont="1" applyFill="1"/>
    <xf numFmtId="0" fontId="25" fillId="13" borderId="0" xfId="0" applyFont="1" applyFill="1"/>
    <xf numFmtId="0" fontId="26" fillId="13" borderId="0" xfId="0" applyFont="1" applyFill="1" applyAlignment="1">
      <alignment horizontal="center"/>
    </xf>
    <xf numFmtId="0" fontId="26" fillId="13" borderId="0" xfId="0" applyFont="1" applyFill="1"/>
    <xf numFmtId="1" fontId="46" fillId="13" borderId="0" xfId="1" applyNumberFormat="1" applyFont="1" applyFill="1" applyAlignment="1">
      <alignment horizontal="center" vertical="top"/>
    </xf>
    <xf numFmtId="0" fontId="65" fillId="16" borderId="0" xfId="0" applyFont="1" applyFill="1"/>
    <xf numFmtId="0" fontId="66" fillId="16" borderId="0" xfId="0" applyFont="1" applyFill="1"/>
    <xf numFmtId="0" fontId="90" fillId="16" borderId="0" xfId="0" applyFont="1" applyFill="1"/>
    <xf numFmtId="0" fontId="26" fillId="16" borderId="0" xfId="0" applyFont="1" applyFill="1" applyAlignment="1">
      <alignment horizontal="center"/>
    </xf>
    <xf numFmtId="0" fontId="26" fillId="16" borderId="0" xfId="0" applyFont="1" applyFill="1"/>
    <xf numFmtId="0" fontId="26" fillId="16" borderId="0" xfId="0" applyFont="1" applyFill="1" applyAlignment="1">
      <alignment horizontal="left" vertical="top"/>
    </xf>
    <xf numFmtId="1" fontId="34" fillId="2" borderId="0" xfId="0" applyNumberFormat="1" applyFont="1" applyFill="1" applyAlignment="1">
      <alignment horizontal="center" vertical="top"/>
    </xf>
    <xf numFmtId="0" fontId="66" fillId="16" borderId="0" xfId="0" applyFont="1" applyFill="1" applyAlignment="1">
      <alignment horizontal="left" vertical="top" wrapText="1"/>
    </xf>
    <xf numFmtId="1" fontId="46" fillId="16" borderId="0" xfId="1" applyNumberFormat="1" applyFont="1" applyFill="1" applyAlignment="1">
      <alignment horizontal="center" vertical="top"/>
    </xf>
    <xf numFmtId="1" fontId="46" fillId="16" borderId="0" xfId="0" applyNumberFormat="1" applyFont="1" applyFill="1" applyAlignment="1">
      <alignment vertical="top"/>
    </xf>
    <xf numFmtId="0" fontId="26" fillId="16" borderId="0" xfId="0" applyFont="1" applyFill="1" applyAlignment="1">
      <alignment vertical="top"/>
    </xf>
    <xf numFmtId="1" fontId="46" fillId="16" borderId="0" xfId="1" applyNumberFormat="1" applyFont="1" applyFill="1" applyAlignment="1">
      <alignment horizontal="center" vertical="center"/>
    </xf>
    <xf numFmtId="1" fontId="46" fillId="16" borderId="0" xfId="0" applyNumberFormat="1" applyFont="1" applyFill="1" applyAlignment="1">
      <alignment vertical="center"/>
    </xf>
    <xf numFmtId="0" fontId="21" fillId="21" borderId="0" xfId="0" applyFont="1" applyFill="1" applyAlignment="1">
      <alignment horizontal="center" vertical="top"/>
    </xf>
    <xf numFmtId="1" fontId="17" fillId="21" borderId="0" xfId="1" applyNumberFormat="1" applyFont="1" applyFill="1" applyAlignment="1">
      <alignment horizontal="center" vertical="top"/>
    </xf>
    <xf numFmtId="1" fontId="17" fillId="21" borderId="0" xfId="0" applyNumberFormat="1" applyFont="1" applyFill="1" applyAlignment="1">
      <alignment vertical="top"/>
    </xf>
    <xf numFmtId="0" fontId="28" fillId="21" borderId="0" xfId="0" applyFont="1" applyFill="1" applyAlignment="1">
      <alignment vertical="top"/>
    </xf>
    <xf numFmtId="1" fontId="46" fillId="17" borderId="0" xfId="1" applyNumberFormat="1" applyFont="1" applyFill="1" applyAlignment="1">
      <alignment horizontal="center" vertical="top"/>
    </xf>
    <xf numFmtId="1" fontId="46" fillId="17" borderId="0" xfId="0" applyNumberFormat="1" applyFont="1" applyFill="1" applyAlignment="1">
      <alignment vertical="top"/>
    </xf>
    <xf numFmtId="0" fontId="65" fillId="17" borderId="0" xfId="0" applyFont="1" applyFill="1"/>
    <xf numFmtId="0" fontId="52" fillId="16" borderId="0" xfId="0" applyFont="1" applyFill="1" applyAlignment="1">
      <alignment horizontal="left" vertical="top"/>
    </xf>
    <xf numFmtId="0" fontId="52" fillId="22" borderId="0" xfId="0" applyFont="1" applyFill="1" applyAlignment="1">
      <alignment horizontal="left" vertical="top"/>
    </xf>
    <xf numFmtId="0" fontId="52" fillId="13" borderId="0" xfId="0" applyFont="1" applyFill="1" applyAlignment="1">
      <alignment horizontal="left" vertical="top"/>
    </xf>
    <xf numFmtId="0" fontId="94" fillId="9" borderId="0" xfId="0" applyFont="1" applyFill="1" applyAlignment="1">
      <alignment vertical="center"/>
    </xf>
    <xf numFmtId="1" fontId="46" fillId="27" borderId="0" xfId="1" applyNumberFormat="1" applyFont="1" applyFill="1" applyAlignment="1">
      <alignment horizontal="center" vertical="top"/>
    </xf>
    <xf numFmtId="1" fontId="46" fillId="27" borderId="0" xfId="0" applyNumberFormat="1" applyFont="1" applyFill="1" applyAlignment="1">
      <alignment vertical="top"/>
    </xf>
    <xf numFmtId="1" fontId="52" fillId="13" borderId="0" xfId="0" applyNumberFormat="1" applyFont="1" applyFill="1" applyAlignment="1">
      <alignment horizontal="center" vertical="top"/>
    </xf>
    <xf numFmtId="9" fontId="6" fillId="2" borderId="0" xfId="1" applyFont="1" applyFill="1" applyBorder="1" applyAlignment="1">
      <alignment horizontal="left" vertical="center"/>
    </xf>
    <xf numFmtId="9" fontId="11" fillId="2" borderId="0" xfId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1" fontId="61" fillId="2" borderId="2" xfId="0" applyNumberFormat="1" applyFont="1" applyFill="1" applyBorder="1" applyAlignment="1">
      <alignment horizontal="left" vertical="center"/>
    </xf>
    <xf numFmtId="1" fontId="61" fillId="2" borderId="4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0" fontId="22" fillId="11" borderId="0" xfId="0" applyFont="1" applyFill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18" fillId="11" borderId="0" xfId="0" applyFont="1" applyFill="1" applyAlignment="1">
      <alignment vertical="center"/>
    </xf>
    <xf numFmtId="0" fontId="44" fillId="11" borderId="0" xfId="0" applyFont="1" applyFill="1" applyAlignment="1">
      <alignment horizontal="center" vertical="center"/>
    </xf>
    <xf numFmtId="0" fontId="45" fillId="11" borderId="0" xfId="0" applyFont="1" applyFill="1" applyAlignment="1">
      <alignment vertical="center"/>
    </xf>
    <xf numFmtId="0" fontId="21" fillId="11" borderId="0" xfId="0" applyFont="1" applyFill="1" applyAlignment="1">
      <alignment vertical="center"/>
    </xf>
    <xf numFmtId="0" fontId="22" fillId="11" borderId="0" xfId="0" applyFont="1" applyFill="1" applyAlignment="1">
      <alignment horizontal="left" vertical="center" wrapText="1"/>
    </xf>
    <xf numFmtId="1" fontId="45" fillId="11" borderId="0" xfId="0" applyNumberFormat="1" applyFont="1" applyFill="1" applyAlignment="1">
      <alignment vertical="center"/>
    </xf>
    <xf numFmtId="1" fontId="43" fillId="11" borderId="0" xfId="0" applyNumberFormat="1" applyFont="1" applyFill="1" applyAlignment="1">
      <alignment vertical="center"/>
    </xf>
    <xf numFmtId="1" fontId="22" fillId="11" borderId="0" xfId="0" applyNumberFormat="1" applyFont="1" applyFill="1" applyAlignment="1">
      <alignment vertical="center"/>
    </xf>
    <xf numFmtId="1" fontId="46" fillId="13" borderId="0" xfId="0" applyNumberFormat="1" applyFont="1" applyFill="1" applyAlignment="1">
      <alignment horizontal="right" vertical="top"/>
    </xf>
    <xf numFmtId="0" fontId="41" fillId="9" borderId="15" xfId="0" applyFont="1" applyFill="1" applyBorder="1" applyAlignment="1">
      <alignment vertical="center" wrapText="1"/>
    </xf>
    <xf numFmtId="0" fontId="4" fillId="12" borderId="15" xfId="0" applyFont="1" applyFill="1" applyBorder="1" applyAlignment="1">
      <alignment vertical="center"/>
    </xf>
    <xf numFmtId="0" fontId="41" fillId="9" borderId="0" xfId="0" applyFont="1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41" fillId="9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8" fillId="16" borderId="0" xfId="0" applyFont="1" applyFill="1" applyAlignment="1">
      <alignment vertical="top"/>
    </xf>
    <xf numFmtId="1" fontId="58" fillId="2" borderId="0" xfId="0" applyNumberFormat="1" applyFont="1" applyFill="1"/>
    <xf numFmtId="0" fontId="25" fillId="2" borderId="0" xfId="0" applyFont="1" applyFill="1" applyAlignment="1">
      <alignment horizontal="left" vertical="top"/>
    </xf>
    <xf numFmtId="1" fontId="58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left" vertical="top"/>
    </xf>
    <xf numFmtId="1" fontId="59" fillId="2" borderId="0" xfId="0" applyNumberFormat="1" applyFont="1" applyFill="1" applyAlignment="1">
      <alignment vertical="top"/>
    </xf>
    <xf numFmtId="1" fontId="59" fillId="2" borderId="0" xfId="0" applyNumberFormat="1" applyFont="1" applyFill="1"/>
    <xf numFmtId="1" fontId="91" fillId="2" borderId="0" xfId="0" applyNumberFormat="1" applyFont="1" applyFill="1" applyAlignment="1">
      <alignment vertical="top"/>
    </xf>
    <xf numFmtId="1" fontId="75" fillId="2" borderId="0" xfId="0" applyNumberFormat="1" applyFont="1" applyFill="1" applyAlignment="1">
      <alignment vertical="center"/>
    </xf>
    <xf numFmtId="1" fontId="75" fillId="2" borderId="0" xfId="0" applyNumberFormat="1" applyFont="1" applyFill="1" applyAlignment="1">
      <alignment vertical="top"/>
    </xf>
    <xf numFmtId="1" fontId="51" fillId="2" borderId="0" xfId="0" applyNumberFormat="1" applyFont="1" applyFill="1" applyAlignment="1">
      <alignment horizontal="left" vertical="center"/>
    </xf>
    <xf numFmtId="0" fontId="58" fillId="2" borderId="0" xfId="0" applyFont="1" applyFill="1" applyAlignment="1">
      <alignment vertical="top"/>
    </xf>
    <xf numFmtId="1" fontId="34" fillId="2" borderId="0" xfId="0" applyNumberFormat="1" applyFont="1" applyFill="1" applyAlignment="1">
      <alignment horizontal="center"/>
    </xf>
    <xf numFmtId="0" fontId="65" fillId="2" borderId="0" xfId="0" applyFont="1" applyFill="1"/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vertical="center"/>
    </xf>
    <xf numFmtId="164" fontId="46" fillId="16" borderId="2" xfId="1" applyNumberFormat="1" applyFont="1" applyFill="1" applyBorder="1" applyAlignment="1">
      <alignment horizontal="center" vertical="center"/>
    </xf>
    <xf numFmtId="9" fontId="17" fillId="2" borderId="9" xfId="1" applyFont="1" applyFill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164" fontId="61" fillId="2" borderId="4" xfId="1" applyNumberFormat="1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left" vertical="center"/>
    </xf>
    <xf numFmtId="10" fontId="0" fillId="2" borderId="9" xfId="1" applyNumberFormat="1" applyFont="1" applyFill="1" applyBorder="1" applyAlignment="1">
      <alignment horizontal="center" vertical="center"/>
    </xf>
    <xf numFmtId="9" fontId="46" fillId="17" borderId="4" xfId="1" applyFont="1" applyFill="1" applyBorder="1" applyAlignment="1">
      <alignment horizontal="center" vertical="center"/>
    </xf>
    <xf numFmtId="0" fontId="99" fillId="16" borderId="0" xfId="0" applyFont="1" applyFill="1" applyAlignment="1">
      <alignment vertical="top" wrapText="1"/>
    </xf>
    <xf numFmtId="0" fontId="99" fillId="16" borderId="13" xfId="0" applyFont="1" applyFill="1" applyBorder="1" applyAlignment="1">
      <alignment vertical="top" wrapText="1"/>
    </xf>
    <xf numFmtId="0" fontId="100" fillId="2" borderId="0" xfId="0" applyFont="1" applyFill="1" applyAlignment="1">
      <alignment vertical="center"/>
    </xf>
    <xf numFmtId="0" fontId="104" fillId="11" borderId="0" xfId="0" applyFont="1" applyFill="1" applyAlignment="1">
      <alignment vertical="center"/>
    </xf>
    <xf numFmtId="0" fontId="104" fillId="8" borderId="0" xfId="0" applyFont="1" applyFill="1" applyAlignment="1">
      <alignment vertical="center"/>
    </xf>
    <xf numFmtId="0" fontId="104" fillId="6" borderId="0" xfId="0" applyFont="1" applyFill="1" applyAlignment="1">
      <alignment vertical="center"/>
    </xf>
    <xf numFmtId="0" fontId="104" fillId="19" borderId="0" xfId="0" applyFont="1" applyFill="1" applyAlignment="1">
      <alignment vertical="center"/>
    </xf>
    <xf numFmtId="0" fontId="104" fillId="15" borderId="0" xfId="0" applyFont="1" applyFill="1" applyAlignment="1">
      <alignment vertical="center"/>
    </xf>
    <xf numFmtId="0" fontId="88" fillId="8" borderId="5" xfId="0" applyFont="1" applyFill="1" applyBorder="1" applyAlignment="1">
      <alignment horizontal="center" vertical="center" wrapText="1"/>
    </xf>
    <xf numFmtId="0" fontId="88" fillId="8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4" fillId="7" borderId="0" xfId="0" applyFont="1" applyFill="1" applyAlignment="1">
      <alignment vertical="center"/>
    </xf>
    <xf numFmtId="0" fontId="104" fillId="25" borderId="0" xfId="0" applyFont="1" applyFill="1" applyAlignment="1">
      <alignment vertical="center"/>
    </xf>
    <xf numFmtId="0" fontId="104" fillId="5" borderId="0" xfId="0" applyFont="1" applyFill="1" applyAlignment="1">
      <alignment vertical="center"/>
    </xf>
    <xf numFmtId="164" fontId="17" fillId="2" borderId="8" xfId="1" applyNumberFormat="1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" fontId="22" fillId="2" borderId="0" xfId="0" applyNumberFormat="1" applyFont="1" applyFill="1" applyAlignment="1">
      <alignment vertical="center" wrapText="1"/>
    </xf>
    <xf numFmtId="1" fontId="106" fillId="16" borderId="6" xfId="0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0" fontId="4" fillId="2" borderId="0" xfId="0" applyFont="1" applyFill="1"/>
    <xf numFmtId="2" fontId="21" fillId="0" borderId="0" xfId="0" applyNumberFormat="1" applyFont="1"/>
    <xf numFmtId="2" fontId="22" fillId="0" borderId="0" xfId="0" applyNumberFormat="1" applyFont="1"/>
    <xf numFmtId="2" fontId="47" fillId="2" borderId="0" xfId="0" applyNumberFormat="1" applyFont="1" applyFill="1" applyAlignment="1">
      <alignment horizontal="center" vertical="center"/>
    </xf>
    <xf numFmtId="164" fontId="22" fillId="0" borderId="0" xfId="1" applyNumberFormat="1" applyFont="1"/>
    <xf numFmtId="2" fontId="22" fillId="0" borderId="0" xfId="1" applyNumberFormat="1" applyFont="1"/>
    <xf numFmtId="10" fontId="22" fillId="0" borderId="0" xfId="1" applyNumberFormat="1" applyFont="1"/>
    <xf numFmtId="10" fontId="21" fillId="0" borderId="0" xfId="1" applyNumberFormat="1" applyFont="1"/>
    <xf numFmtId="167" fontId="43" fillId="11" borderId="0" xfId="0" applyNumberFormat="1" applyFont="1" applyFill="1" applyAlignment="1">
      <alignment vertical="center"/>
    </xf>
    <xf numFmtId="0" fontId="46" fillId="2" borderId="0" xfId="0" applyFont="1" applyFill="1" applyAlignment="1">
      <alignment horizontal="left"/>
    </xf>
    <xf numFmtId="0" fontId="101" fillId="16" borderId="0" xfId="0" applyFont="1" applyFill="1" applyAlignment="1">
      <alignment vertical="top" wrapText="1"/>
    </xf>
    <xf numFmtId="0" fontId="82" fillId="2" borderId="0" xfId="0" applyFont="1" applyFill="1" applyAlignment="1">
      <alignment vertical="center"/>
    </xf>
    <xf numFmtId="0" fontId="83" fillId="2" borderId="0" xfId="0" applyFont="1" applyFill="1" applyAlignment="1">
      <alignment vertical="center"/>
    </xf>
    <xf numFmtId="0" fontId="74" fillId="2" borderId="0" xfId="0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1" fontId="5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vertical="center"/>
    </xf>
    <xf numFmtId="0" fontId="90" fillId="2" borderId="0" xfId="0" applyFont="1" applyFill="1"/>
    <xf numFmtId="0" fontId="66" fillId="2" borderId="0" xfId="0" applyFont="1" applyFill="1" applyAlignment="1">
      <alignment horizontal="left" vertical="top" wrapText="1"/>
    </xf>
    <xf numFmtId="1" fontId="23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 vertical="top"/>
    </xf>
    <xf numFmtId="0" fontId="51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0" fontId="34" fillId="2" borderId="0" xfId="0" applyFont="1" applyFill="1" applyAlignment="1">
      <alignment horizontal="left"/>
    </xf>
    <xf numFmtId="0" fontId="34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left"/>
    </xf>
    <xf numFmtId="0" fontId="65" fillId="2" borderId="0" xfId="0" applyFont="1" applyFill="1" applyAlignment="1">
      <alignment horizontal="left"/>
    </xf>
    <xf numFmtId="0" fontId="58" fillId="2" borderId="1" xfId="0" applyFont="1" applyFill="1" applyBorder="1" applyAlignment="1">
      <alignment horizontal="left" vertical="center"/>
    </xf>
    <xf numFmtId="164" fontId="46" fillId="16" borderId="3" xfId="1" applyNumberFormat="1" applyFont="1" applyFill="1" applyBorder="1" applyAlignment="1">
      <alignment horizontal="center" vertical="center"/>
    </xf>
    <xf numFmtId="1" fontId="23" fillId="2" borderId="0" xfId="0" applyNumberFormat="1" applyFont="1" applyFill="1"/>
    <xf numFmtId="1" fontId="107" fillId="2" borderId="0" xfId="0" applyNumberFormat="1" applyFont="1" applyFill="1" applyAlignment="1">
      <alignment horizontal="center" vertical="center"/>
    </xf>
    <xf numFmtId="9" fontId="17" fillId="2" borderId="0" xfId="1" applyFont="1" applyFill="1" applyBorder="1"/>
    <xf numFmtId="1" fontId="108" fillId="2" borderId="0" xfId="0" applyNumberFormat="1" applyFont="1" applyFill="1"/>
    <xf numFmtId="0" fontId="29" fillId="2" borderId="0" xfId="0" applyFont="1" applyFill="1" applyAlignment="1">
      <alignment vertical="center"/>
    </xf>
    <xf numFmtId="0" fontId="109" fillId="2" borderId="0" xfId="0" applyFont="1" applyFill="1" applyAlignment="1">
      <alignment vertical="top"/>
    </xf>
    <xf numFmtId="0" fontId="110" fillId="2" borderId="0" xfId="0" applyFont="1" applyFill="1" applyAlignment="1">
      <alignment vertical="center"/>
    </xf>
    <xf numFmtId="0" fontId="86" fillId="9" borderId="0" xfId="0" applyFont="1" applyFill="1" applyAlignment="1">
      <alignment horizontal="center" vertical="center" wrapText="1"/>
    </xf>
    <xf numFmtId="2" fontId="46" fillId="18" borderId="6" xfId="1" applyNumberFormat="1" applyFont="1" applyFill="1" applyBorder="1" applyAlignment="1">
      <alignment horizontal="center" vertical="center"/>
    </xf>
    <xf numFmtId="166" fontId="46" fillId="18" borderId="4" xfId="1" applyNumberFormat="1" applyFont="1" applyFill="1" applyBorder="1" applyAlignment="1">
      <alignment horizontal="center" vertical="center"/>
    </xf>
    <xf numFmtId="10" fontId="46" fillId="18" borderId="3" xfId="1" applyNumberFormat="1" applyFont="1" applyFill="1" applyBorder="1" applyAlignment="1">
      <alignment horizontal="center" vertical="center"/>
    </xf>
    <xf numFmtId="9" fontId="17" fillId="2" borderId="10" xfId="1" applyFont="1" applyFill="1" applyBorder="1" applyAlignment="1">
      <alignment horizontal="center" vertical="center"/>
    </xf>
    <xf numFmtId="10" fontId="17" fillId="2" borderId="0" xfId="1" applyNumberFormat="1" applyFont="1" applyFill="1" applyBorder="1" applyAlignment="1">
      <alignment horizontal="center" vertical="center"/>
    </xf>
    <xf numFmtId="164" fontId="43" fillId="2" borderId="0" xfId="1" applyNumberFormat="1" applyFont="1" applyFill="1" applyAlignment="1">
      <alignment vertical="center"/>
    </xf>
    <xf numFmtId="1" fontId="106" fillId="16" borderId="4" xfId="0" applyNumberFormat="1" applyFont="1" applyFill="1" applyBorder="1" applyAlignment="1">
      <alignment horizontal="center" vertical="center"/>
    </xf>
    <xf numFmtId="0" fontId="40" fillId="11" borderId="0" xfId="0" applyFont="1" applyFill="1" applyAlignment="1">
      <alignment vertical="center" wrapText="1"/>
    </xf>
    <xf numFmtId="0" fontId="13" fillId="2" borderId="0" xfId="0" applyFont="1" applyFill="1"/>
    <xf numFmtId="0" fontId="111" fillId="2" borderId="0" xfId="0" applyFont="1" applyFill="1" applyAlignment="1">
      <alignment vertical="top"/>
    </xf>
    <xf numFmtId="1" fontId="37" fillId="2" borderId="4" xfId="0" applyNumberFormat="1" applyFont="1" applyFill="1" applyBorder="1" applyAlignment="1">
      <alignment horizontal="center" vertical="center"/>
    </xf>
    <xf numFmtId="0" fontId="112" fillId="2" borderId="0" xfId="0" applyFont="1" applyFill="1"/>
    <xf numFmtId="0" fontId="112" fillId="2" borderId="0" xfId="0" applyFont="1" applyFill="1" applyAlignment="1">
      <alignment vertical="center"/>
    </xf>
    <xf numFmtId="1" fontId="46" fillId="14" borderId="0" xfId="0" applyNumberFormat="1" applyFont="1" applyFill="1" applyAlignment="1">
      <alignment horizontal="center" vertical="top"/>
    </xf>
    <xf numFmtId="0" fontId="7" fillId="14" borderId="0" xfId="0" applyFont="1" applyFill="1" applyAlignment="1">
      <alignment vertical="center"/>
    </xf>
    <xf numFmtId="0" fontId="7" fillId="14" borderId="0" xfId="0" applyFont="1" applyFill="1" applyAlignment="1">
      <alignment horizontal="center" vertical="center"/>
    </xf>
    <xf numFmtId="0" fontId="113" fillId="2" borderId="0" xfId="0" applyFont="1" applyFill="1" applyAlignment="1">
      <alignment horizontal="left" vertical="center"/>
    </xf>
    <xf numFmtId="1" fontId="21" fillId="28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1" fontId="22" fillId="28" borderId="0" xfId="0" applyNumberFormat="1" applyFont="1" applyFill="1" applyAlignment="1">
      <alignment vertical="center" wrapText="1"/>
    </xf>
    <xf numFmtId="9" fontId="0" fillId="0" borderId="0" xfId="1" applyFont="1" applyAlignment="1">
      <alignment vertical="center"/>
    </xf>
    <xf numFmtId="2" fontId="0" fillId="2" borderId="0" xfId="0" applyNumberFormat="1" applyFill="1"/>
    <xf numFmtId="0" fontId="1" fillId="4" borderId="0" xfId="0" applyFont="1" applyFill="1" applyAlignment="1">
      <alignment horizontal="center" vertical="center" wrapText="1"/>
    </xf>
    <xf numFmtId="0" fontId="99" fillId="16" borderId="0" xfId="0" applyFont="1" applyFill="1" applyAlignment="1">
      <alignment horizontal="left" vertical="top" wrapText="1"/>
    </xf>
    <xf numFmtId="165" fontId="18" fillId="2" borderId="0" xfId="0" applyNumberFormat="1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40" fillId="19" borderId="0" xfId="0" applyFont="1" applyFill="1" applyAlignment="1">
      <alignment horizontal="center" vertical="center" wrapText="1"/>
    </xf>
    <xf numFmtId="0" fontId="32" fillId="19" borderId="5" xfId="0" applyFont="1" applyFill="1" applyBorder="1" applyAlignment="1">
      <alignment horizontal="center" vertical="center" wrapText="1"/>
    </xf>
    <xf numFmtId="0" fontId="32" fillId="19" borderId="2" xfId="0" applyFont="1" applyFill="1" applyBorder="1" applyAlignment="1">
      <alignment horizontal="center" vertical="center" wrapText="1"/>
    </xf>
    <xf numFmtId="0" fontId="32" fillId="19" borderId="0" xfId="0" applyFont="1" applyFill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40" fillId="6" borderId="0" xfId="0" applyFont="1" applyFill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40" fillId="11" borderId="0" xfId="0" applyFont="1" applyFill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67" fillId="16" borderId="0" xfId="0" applyFont="1" applyFill="1" applyAlignment="1">
      <alignment horizontal="left" vertical="top" wrapText="1"/>
    </xf>
    <xf numFmtId="0" fontId="7" fillId="16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1" fontId="11" fillId="2" borderId="12" xfId="1" applyNumberFormat="1" applyFont="1" applyFill="1" applyBorder="1" applyAlignment="1">
      <alignment horizontal="center" vertical="center"/>
    </xf>
    <xf numFmtId="1" fontId="11" fillId="2" borderId="8" xfId="1" applyNumberFormat="1" applyFont="1" applyFill="1" applyBorder="1" applyAlignment="1">
      <alignment horizontal="center" vertical="center"/>
    </xf>
    <xf numFmtId="9" fontId="11" fillId="2" borderId="0" xfId="1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170" fontId="61" fillId="2" borderId="5" xfId="1" applyNumberFormat="1" applyFont="1" applyFill="1" applyBorder="1" applyAlignment="1">
      <alignment horizontal="center" vertical="center"/>
    </xf>
    <xf numFmtId="170" fontId="61" fillId="2" borderId="0" xfId="1" applyNumberFormat="1" applyFont="1" applyFill="1" applyBorder="1" applyAlignment="1">
      <alignment horizontal="center" vertical="center"/>
    </xf>
    <xf numFmtId="1" fontId="61" fillId="2" borderId="5" xfId="1" applyNumberFormat="1" applyFont="1" applyFill="1" applyBorder="1" applyAlignment="1">
      <alignment horizontal="center" vertical="center"/>
    </xf>
    <xf numFmtId="1" fontId="61" fillId="2" borderId="0" xfId="1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left" vertical="center"/>
    </xf>
    <xf numFmtId="1" fontId="6" fillId="2" borderId="0" xfId="1" applyNumberFormat="1" applyFont="1" applyFill="1" applyBorder="1" applyAlignment="1">
      <alignment horizontal="center" vertical="center"/>
    </xf>
    <xf numFmtId="165" fontId="33" fillId="10" borderId="5" xfId="1" applyNumberFormat="1" applyFont="1" applyFill="1" applyBorder="1" applyAlignment="1">
      <alignment horizontal="center" vertical="center"/>
    </xf>
    <xf numFmtId="165" fontId="33" fillId="10" borderId="0" xfId="1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26" borderId="5" xfId="0" applyFont="1" applyFill="1" applyBorder="1" applyAlignment="1">
      <alignment horizontal="center" vertical="center"/>
    </xf>
    <xf numFmtId="0" fontId="15" fillId="26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/>
    </xf>
    <xf numFmtId="0" fontId="15" fillId="25" borderId="0" xfId="0" applyFont="1" applyFill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0" fontId="1" fillId="25" borderId="5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2" xfId="0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" fontId="33" fillId="10" borderId="6" xfId="1" applyNumberFormat="1" applyFont="1" applyFill="1" applyBorder="1" applyAlignment="1">
      <alignment horizontal="center" vertical="center"/>
    </xf>
    <xf numFmtId="1" fontId="33" fillId="10" borderId="3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0" fontId="39" fillId="15" borderId="0" xfId="0" applyFont="1" applyFill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1" fontId="33" fillId="10" borderId="0" xfId="1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2" fontId="11" fillId="2" borderId="12" xfId="1" applyNumberFormat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/>
    </xf>
    <xf numFmtId="0" fontId="39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72" fontId="61" fillId="2" borderId="5" xfId="1" applyNumberFormat="1" applyFont="1" applyFill="1" applyBorder="1" applyAlignment="1">
      <alignment horizontal="center" vertical="center"/>
    </xf>
    <xf numFmtId="172" fontId="61" fillId="2" borderId="0" xfId="1" applyNumberFormat="1" applyFont="1" applyFill="1" applyBorder="1" applyAlignment="1">
      <alignment horizontal="center" vertical="center"/>
    </xf>
    <xf numFmtId="165" fontId="61" fillId="2" borderId="5" xfId="1" applyNumberFormat="1" applyFont="1" applyFill="1" applyBorder="1" applyAlignment="1">
      <alignment horizontal="center" vertical="center"/>
    </xf>
    <xf numFmtId="165" fontId="61" fillId="2" borderId="0" xfId="1" applyNumberFormat="1" applyFont="1" applyFill="1" applyBorder="1" applyAlignment="1">
      <alignment horizontal="center" vertical="center"/>
    </xf>
    <xf numFmtId="2" fontId="61" fillId="2" borderId="5" xfId="1" applyNumberFormat="1" applyFont="1" applyFill="1" applyBorder="1" applyAlignment="1">
      <alignment horizontal="center" vertical="center"/>
    </xf>
    <xf numFmtId="2" fontId="61" fillId="2" borderId="0" xfId="1" applyNumberFormat="1" applyFont="1" applyFill="1" applyBorder="1" applyAlignment="1">
      <alignment horizontal="center" vertical="center"/>
    </xf>
    <xf numFmtId="165" fontId="61" fillId="2" borderId="6" xfId="1" applyNumberFormat="1" applyFont="1" applyFill="1" applyBorder="1" applyAlignment="1">
      <alignment horizontal="center" vertical="center"/>
    </xf>
    <xf numFmtId="165" fontId="61" fillId="2" borderId="3" xfId="1" applyNumberFormat="1" applyFont="1" applyFill="1" applyBorder="1" applyAlignment="1">
      <alignment horizontal="center" vertical="center"/>
    </xf>
    <xf numFmtId="2" fontId="61" fillId="2" borderId="6" xfId="1" applyNumberFormat="1" applyFont="1" applyFill="1" applyBorder="1" applyAlignment="1">
      <alignment horizontal="center" vertical="center"/>
    </xf>
    <xf numFmtId="2" fontId="61" fillId="2" borderId="3" xfId="1" applyNumberFormat="1" applyFont="1" applyFill="1" applyBorder="1" applyAlignment="1">
      <alignment horizontal="center" vertical="center"/>
    </xf>
    <xf numFmtId="167" fontId="61" fillId="2" borderId="5" xfId="1" applyNumberFormat="1" applyFont="1" applyFill="1" applyBorder="1" applyAlignment="1">
      <alignment horizontal="center" vertical="center"/>
    </xf>
    <xf numFmtId="167" fontId="61" fillId="2" borderId="0" xfId="1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39" fillId="7" borderId="0" xfId="0" applyFont="1" applyFill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" fontId="32" fillId="2" borderId="5" xfId="1" applyNumberFormat="1" applyFont="1" applyFill="1" applyBorder="1" applyAlignment="1">
      <alignment horizontal="center" vertical="center"/>
    </xf>
    <xf numFmtId="1" fontId="32" fillId="2" borderId="0" xfId="1" applyNumberFormat="1" applyFont="1" applyFill="1" applyBorder="1" applyAlignment="1">
      <alignment horizontal="center" vertical="center"/>
    </xf>
    <xf numFmtId="165" fontId="32" fillId="2" borderId="5" xfId="1" applyNumberFormat="1" applyFont="1" applyFill="1" applyBorder="1" applyAlignment="1">
      <alignment horizontal="center" vertical="center"/>
    </xf>
    <xf numFmtId="165" fontId="32" fillId="2" borderId="0" xfId="1" applyNumberFormat="1" applyFont="1" applyFill="1" applyBorder="1" applyAlignment="1">
      <alignment horizontal="center" vertical="center"/>
    </xf>
    <xf numFmtId="165" fontId="32" fillId="2" borderId="6" xfId="1" applyNumberFormat="1" applyFont="1" applyFill="1" applyBorder="1" applyAlignment="1">
      <alignment horizontal="center" vertical="center"/>
    </xf>
    <xf numFmtId="165" fontId="32" fillId="2" borderId="3" xfId="1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165" fontId="18" fillId="2" borderId="5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39" fillId="8" borderId="0" xfId="0" applyFont="1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35" fillId="11" borderId="2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top"/>
    </xf>
    <xf numFmtId="0" fontId="38" fillId="11" borderId="0" xfId="0" applyFont="1" applyFill="1" applyAlignment="1">
      <alignment horizontal="center" vertical="center"/>
    </xf>
    <xf numFmtId="1" fontId="18" fillId="2" borderId="5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2" fontId="18" fillId="2" borderId="5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1" fontId="18" fillId="2" borderId="0" xfId="1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9" fontId="6" fillId="2" borderId="0" xfId="1" applyFont="1" applyFill="1" applyBorder="1" applyAlignment="1">
      <alignment horizontal="center" vertical="center"/>
    </xf>
    <xf numFmtId="0" fontId="39" fillId="1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6" borderId="5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6" fillId="25" borderId="5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7" fillId="22" borderId="0" xfId="0" applyFont="1" applyFill="1" applyAlignment="1">
      <alignment horizontal="left" vertical="center" wrapText="1"/>
    </xf>
    <xf numFmtId="173" fontId="61" fillId="2" borderId="5" xfId="1" applyNumberFormat="1" applyFont="1" applyFill="1" applyBorder="1" applyAlignment="1">
      <alignment horizontal="center" vertical="center"/>
    </xf>
    <xf numFmtId="173" fontId="61" fillId="2" borderId="0" xfId="1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52" fillId="14" borderId="0" xfId="0" applyFont="1" applyFill="1" applyAlignment="1">
      <alignment horizontal="left" vertical="top" wrapText="1"/>
    </xf>
    <xf numFmtId="0" fontId="69" fillId="2" borderId="0" xfId="0" applyFont="1" applyFill="1" applyAlignment="1">
      <alignment horizontal="left" vertical="center"/>
    </xf>
    <xf numFmtId="2" fontId="17" fillId="2" borderId="11" xfId="0" applyNumberFormat="1" applyFont="1" applyFill="1" applyBorder="1" applyAlignment="1">
      <alignment horizontal="center" vertical="center"/>
    </xf>
    <xf numFmtId="166" fontId="17" fillId="2" borderId="2" xfId="1" applyNumberFormat="1" applyFont="1" applyFill="1" applyBorder="1" applyAlignment="1">
      <alignment horizontal="center" vertical="center"/>
    </xf>
    <xf numFmtId="9" fontId="18" fillId="2" borderId="4" xfId="1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9" fontId="18" fillId="2" borderId="0" xfId="1" applyNumberFormat="1" applyFont="1" applyFill="1" applyBorder="1" applyAlignment="1">
      <alignment horizontal="center" vertical="center"/>
    </xf>
  </cellXfs>
  <cellStyles count="3">
    <cellStyle name="Comma [0]" xfId="2" builtinId="6"/>
    <cellStyle name="Normal" xfId="0" builtinId="0"/>
    <cellStyle name="Percent" xfId="1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</dxfs>
  <tableStyles count="0" defaultTableStyle="TableStyleMedium2" defaultPivotStyle="PivotStyleLight16"/>
  <colors>
    <mruColors>
      <color rgb="FF23A5D9"/>
      <color rgb="FFBDE8FF"/>
      <color rgb="FF7FB9D9"/>
      <color rgb="FFFFD44B"/>
      <color rgb="FFED7D31"/>
      <color rgb="FF008AAC"/>
      <color rgb="FF855092"/>
      <color rgb="FFC9689E"/>
      <color rgb="FFFF6941"/>
      <color rgb="FF63A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in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 according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to Obligations</a:t>
            </a:r>
          </a:p>
        </c:rich>
      </c:tx>
      <c:layout>
        <c:manualLayout>
          <c:xMode val="edge"/>
          <c:yMode val="edge"/>
          <c:x val="0.40994389484149318"/>
          <c:y val="0.38752890895662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B-4450-9DD9-CC7EBA9CA5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8B-4450-9DD9-CC7EBA9CA545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8B-4450-9DD9-CC7EBA9CA545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B-4450-9DD9-CC7EBA9CA545}"/>
              </c:ext>
            </c:extLst>
          </c:dPt>
          <c:dLbls>
            <c:dLbl>
              <c:idx val="0"/>
              <c:layout>
                <c:manualLayout>
                  <c:x val="0.22068919711180454"/>
                  <c:y val="-0.17377830279226961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8B-4450-9DD9-CC7EBA9CA545}"/>
                </c:ext>
              </c:extLst>
            </c:dLbl>
            <c:dLbl>
              <c:idx val="1"/>
              <c:layout>
                <c:manualLayout>
                  <c:x val="0.20474601722406391"/>
                  <c:y val="-5.177769586269049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8B-4450-9DD9-CC7EBA9CA545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8B-4450-9DD9-CC7EBA9CA545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8B-4450-9DD9-CC7EBA9CA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Data'!$E$123:$E$126</c:f>
              <c:strCache>
                <c:ptCount val="4"/>
                <c:pt idx="0">
                  <c:v>ETS Stationary Emissions</c:v>
                </c:pt>
                <c:pt idx="1">
                  <c:v>Domestic Aviation (CO₂)</c:v>
                </c:pt>
                <c:pt idx="2">
                  <c:v>ESR</c:v>
                </c:pt>
                <c:pt idx="3">
                  <c:v>LULUCF</c:v>
                </c:pt>
              </c:strCache>
            </c:strRef>
          </c:cat>
          <c:val>
            <c:numRef>
              <c:f>'Talnagögn | Numerical Data'!$Z$123:$Z$126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2812.6902746094856</c:v>
                </c:pt>
                <c:pt idx="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8B-4450-9DD9-CC7EBA9CA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Data'!$D$126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Data'!$D$125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Data'!$D$123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Data'!$D$124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Data'!$D$133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35B-9BDE-05B42512DB99}"/>
            </c:ext>
          </c:extLst>
        </c:ser>
        <c:ser>
          <c:idx val="1"/>
          <c:order val="1"/>
          <c:tx>
            <c:strRef>
              <c:f>'Talnagögn | Numerical Data'!$D$134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1-435B-9BDE-05B42512DB99}"/>
            </c:ext>
          </c:extLst>
        </c:ser>
        <c:ser>
          <c:idx val="2"/>
          <c:order val="2"/>
          <c:tx>
            <c:strRef>
              <c:f>'Talnagögn | Numerical Data'!$D$135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1-435B-9BDE-05B42512DB99}"/>
            </c:ext>
          </c:extLst>
        </c:ser>
        <c:ser>
          <c:idx val="3"/>
          <c:order val="3"/>
          <c:tx>
            <c:strRef>
              <c:f>'Talnagögn | Numerical Data'!$D$136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31-435B-9BDE-05B42512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Samfélagslosun Íslands skipt</a:t>
            </a:r>
            <a:r>
              <a:rPr lang="en-GB" b="0" baseline="0"/>
              <a:t> eftir helstu uppsprettum</a:t>
            </a:r>
            <a:endParaRPr lang="en-GB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Data'!$D$145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3-41BF-B797-2189AAE39B2F}"/>
            </c:ext>
          </c:extLst>
        </c:ser>
        <c:ser>
          <c:idx val="1"/>
          <c:order val="1"/>
          <c:tx>
            <c:strRef>
              <c:f>'Talnagögn | Numerical Data'!$D$150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3-41BF-B797-2189AAE39B2F}"/>
            </c:ext>
          </c:extLst>
        </c:ser>
        <c:ser>
          <c:idx val="2"/>
          <c:order val="2"/>
          <c:tx>
            <c:strRef>
              <c:f>'Talnagögn | Numerical Data'!$D$151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3-41BF-B797-2189AAE39B2F}"/>
            </c:ext>
          </c:extLst>
        </c:ser>
        <c:ser>
          <c:idx val="3"/>
          <c:order val="3"/>
          <c:tx>
            <c:strRef>
              <c:f>'Talnagögn | Numerical Data'!$D$152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3-41BF-B797-2189AAE39B2F}"/>
            </c:ext>
          </c:extLst>
        </c:ser>
        <c:ser>
          <c:idx val="4"/>
          <c:order val="4"/>
          <c:tx>
            <c:strRef>
              <c:f>'Talnagögn | Numerical Data'!$D$153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A3-41BF-B797-2189AAE39B2F}"/>
            </c:ext>
          </c:extLst>
        </c:ser>
        <c:ser>
          <c:idx val="5"/>
          <c:order val="5"/>
          <c:tx>
            <c:strRef>
              <c:f>'Talnagögn | Numerical Data'!$D$154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3-41BF-B797-2189AAE39B2F}"/>
            </c:ext>
          </c:extLst>
        </c:ser>
        <c:ser>
          <c:idx val="6"/>
          <c:order val="6"/>
          <c:tx>
            <c:strRef>
              <c:f>'Talnagögn | Numerical Data'!$D$155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3-41BF-B797-2189AAE39B2F}"/>
            </c:ext>
          </c:extLst>
        </c:ser>
        <c:ser>
          <c:idx val="7"/>
          <c:order val="7"/>
          <c:tx>
            <c:strRef>
              <c:f>'Talnagögn | Numerical Data'!$D$159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3-41BF-B797-2189AAE3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Samfélagslosun</a:t>
            </a:r>
          </a:p>
          <a:p>
            <a:pPr>
              <a:defRPr sz="1800"/>
            </a:pPr>
            <a:r>
              <a:rPr lang="en-US" sz="1600" b="1" baseline="0"/>
              <a:t>Íslands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3440612663626305"/>
          <c:y val="0.43307649335420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81135073188518"/>
          <c:y val="4.643726851851851E-2"/>
          <c:w val="0.50626751575767048"/>
          <c:h val="0.899890509259259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6-44C5-AEA3-9ECCC7D953F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26-44C5-AEA3-9ECCC7D953F8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26-44C5-AEA3-9ECCC7D953F8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26-44C5-AEA3-9ECCC7D953F8}"/>
              </c:ext>
            </c:extLst>
          </c:dPt>
          <c:dLbls>
            <c:dLbl>
              <c:idx val="0"/>
              <c:layout>
                <c:manualLayout>
                  <c:x val="0.1855054296017439"/>
                  <c:y val="-0.28737069836068946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04223865155264"/>
                      <c:h val="0.171736471809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26-44C5-AEA3-9ECCC7D953F8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26-44C5-AEA3-9ECCC7D953F8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26-44C5-AEA3-9ECCC7D953F8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E26-44C5-AEA3-9ECCC7D95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Data'!$D$133:$D$136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26-44C5-AEA3-9ECCC7D95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Samfélagslosun</a:t>
            </a:r>
          </a:p>
          <a:p>
            <a:pPr>
              <a:defRPr/>
            </a:pPr>
            <a:r>
              <a:rPr lang="is-IS" sz="1600" b="1" baseline="0">
                <a:solidFill>
                  <a:sysClr val="windowText" lastClr="000000"/>
                </a:solidFill>
              </a:rPr>
              <a:t>Íslands </a:t>
            </a:r>
            <a:br>
              <a:rPr lang="is-IS" sz="1600" b="1" baseline="0">
                <a:solidFill>
                  <a:sysClr val="windowText" lastClr="000000"/>
                </a:solidFill>
              </a:rPr>
            </a:br>
            <a:r>
              <a:rPr lang="is-IS" sz="1600" b="1" baseline="0">
                <a:solidFill>
                  <a:sysClr val="windowText" lastClr="000000"/>
                </a:solidFill>
              </a:rPr>
              <a:t>2023</a:t>
            </a:r>
            <a:endParaRPr lang="is-I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1214927927374687"/>
          <c:y val="0.4921464874949565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544690640812901"/>
          <c:y val="0.14826414666694421"/>
          <c:w val="0.43926732620414849"/>
          <c:h val="0.7802960814651892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5-4EB4-BE43-D217CD30861A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5-4EB4-BE43-D217CD30861A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5-4EB4-BE43-D217CD30861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5-4EB4-BE43-D217CD308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5-4EB4-BE43-D217CD3086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25-4EB4-BE43-D217CD30861A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25-4EB4-BE43-D217CD30861A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25-4EB4-BE43-D217CD30861A}"/>
              </c:ext>
            </c:extLst>
          </c:dPt>
          <c:dLbls>
            <c:dLbl>
              <c:idx val="0"/>
              <c:layout>
                <c:manualLayout>
                  <c:x val="0.17242721127061375"/>
                  <c:y val="-0.18226851851851852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25-4EB4-BE43-D217CD30861A}"/>
                </c:ext>
              </c:extLst>
            </c:dLbl>
            <c:dLbl>
              <c:idx val="1"/>
              <c:layout>
                <c:manualLayout>
                  <c:x val="0.173502734375"/>
                  <c:y val="0.12935185185185186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25-4EB4-BE43-D217CD30861A}"/>
                </c:ext>
              </c:extLst>
            </c:dLbl>
            <c:dLbl>
              <c:idx val="2"/>
              <c:layout>
                <c:manualLayout>
                  <c:x val="-0.17363496307332074"/>
                  <c:y val="0.126686111111111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25-4EB4-BE43-D217CD30861A}"/>
                </c:ext>
              </c:extLst>
            </c:dLbl>
            <c:dLbl>
              <c:idx val="3"/>
              <c:layout>
                <c:manualLayout>
                  <c:x val="-0.20175455729166666"/>
                  <c:y val="7.12847222222222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25-4EB4-BE43-D217CD30861A}"/>
                </c:ext>
              </c:extLst>
            </c:dLbl>
            <c:dLbl>
              <c:idx val="4"/>
              <c:layout>
                <c:manualLayout>
                  <c:x val="-0.30096274591879446"/>
                  <c:y val="-2.50067648670963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25-4EB4-BE43-D217CD30861A}"/>
                </c:ext>
              </c:extLst>
            </c:dLbl>
            <c:dLbl>
              <c:idx val="5"/>
              <c:layout>
                <c:manualLayout>
                  <c:x val="-0.2324188039139993"/>
                  <c:y val="-0.138140205050638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E25-4EB4-BE43-D217CD30861A}"/>
                </c:ext>
              </c:extLst>
            </c:dLbl>
            <c:dLbl>
              <c:idx val="6"/>
              <c:layout>
                <c:manualLayout>
                  <c:x val="-0.26625228666878614"/>
                  <c:y val="-0.2662353753726655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E25-4EB4-BE43-D217CD30861A}"/>
                </c:ext>
              </c:extLst>
            </c:dLbl>
            <c:dLbl>
              <c:idx val="7"/>
              <c:layout>
                <c:manualLayout>
                  <c:x val="-5.6856928163902164E-2"/>
                  <c:y val="-0.1928571759259259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488063E-86A9-4793-A10F-AA777A6FA30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857385928769809"/>
                      <c:h val="0.15034984587371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E25-4EB4-BE43-D217CD308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Obligations'!$D$182:$D$189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Annað</c:v>
                </c:pt>
              </c:strCache>
            </c:strRef>
          </c:cat>
          <c:val>
            <c:numRef>
              <c:f>'Skuldbindingar | Obligations'!$E$182:$E$189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693.89491902799296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25-4EB4-BE43-D217CD30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39830415566105343"/>
          <c:y val="0.4288401200280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1-44AE-9AD4-B34FE1DB9B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1-44AE-9AD4-B34FE1DB9B0D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1-44AE-9AD4-B34FE1DB9B0D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1-44AE-9AD4-B34FE1DB9B0D}"/>
              </c:ext>
            </c:extLst>
          </c:dPt>
          <c:dLbls>
            <c:dLbl>
              <c:idx val="0"/>
              <c:layout>
                <c:manualLayout>
                  <c:x val="0.21151515151515141"/>
                  <c:y val="-0.16960225297190959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31-44AE-9AD4-B34FE1DB9B0D}"/>
                </c:ext>
              </c:extLst>
            </c:dLbl>
            <c:dLbl>
              <c:idx val="1"/>
              <c:layout>
                <c:manualLayout>
                  <c:x val="0.20917836917453361"/>
                  <c:y val="-2.693622451273976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31-44AE-9AD4-B34FE1DB9B0D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31-44AE-9AD4-B34FE1DB9B0D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31-44AE-9AD4-B34FE1DB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Data'!$D$123:$D$126</c:f>
              <c:strCache>
                <c:ptCount val="4"/>
                <c:pt idx="0">
                  <c:v>ETS staðbundinn iðnaður</c:v>
                </c:pt>
                <c:pt idx="1">
                  <c:v>Innanlandsflug (CO₂)</c:v>
                </c:pt>
                <c:pt idx="2">
                  <c:v>Samfélagslosun</c:v>
                </c:pt>
                <c:pt idx="3">
                  <c:v>Landnotkun (LULUCF)</c:v>
                </c:pt>
              </c:strCache>
            </c:strRef>
          </c:cat>
          <c:val>
            <c:numRef>
              <c:f>'Talnagögn | Numerical Data'!$Z$123:$Z$126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2812.6902746094856</c:v>
                </c:pt>
                <c:pt idx="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31-44AE-9AD4-B34FE1DB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Data'!$E$126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E0F-9B04-0141E3B3DBC7}"/>
            </c:ext>
          </c:extLst>
        </c:ser>
        <c:ser>
          <c:idx val="2"/>
          <c:order val="1"/>
          <c:tx>
            <c:strRef>
              <c:f>'Talnagögn | Numerical Data'!$E$125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B-4E0F-9B04-0141E3B3DBC7}"/>
            </c:ext>
          </c:extLst>
        </c:ser>
        <c:ser>
          <c:idx val="0"/>
          <c:order val="2"/>
          <c:tx>
            <c:strRef>
              <c:f>'Talnagögn | Numerical Data'!$E$123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B-4E0F-9B04-0141E3B3DBC7}"/>
            </c:ext>
          </c:extLst>
        </c:ser>
        <c:ser>
          <c:idx val="1"/>
          <c:order val="3"/>
          <c:tx>
            <c:strRef>
              <c:f>'Talnagögn | Numerical Data'!$E$124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B-4E0F-9B04-0141E3B3D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Data'!$E$126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63A28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1-4D47-99A2-1E6AA0CAD6BD}"/>
            </c:ext>
          </c:extLst>
        </c:ser>
        <c:ser>
          <c:idx val="2"/>
          <c:order val="1"/>
          <c:tx>
            <c:strRef>
              <c:f>'Talnagögn | Numerical Data'!$E$125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1-4D47-99A2-1E6AA0CAD6BD}"/>
            </c:ext>
          </c:extLst>
        </c:ser>
        <c:ser>
          <c:idx val="0"/>
          <c:order val="2"/>
          <c:tx>
            <c:strRef>
              <c:f>'Talnagögn | Numerical Data'!$E$123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1-4D47-99A2-1E6AA0CAD6BD}"/>
            </c:ext>
          </c:extLst>
        </c:ser>
        <c:ser>
          <c:idx val="1"/>
          <c:order val="3"/>
          <c:tx>
            <c:strRef>
              <c:f>'Talnagögn | Numerical Data'!$E$124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1-4D47-99A2-1E6AA0CA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Data'!$E$133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AE3-83AF-EFA415AA8726}"/>
            </c:ext>
          </c:extLst>
        </c:ser>
        <c:ser>
          <c:idx val="1"/>
          <c:order val="1"/>
          <c:tx>
            <c:strRef>
              <c:f>'Talnagögn | Numerical Data'!$E$134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9-4AE3-83AF-EFA415AA8726}"/>
            </c:ext>
          </c:extLst>
        </c:ser>
        <c:ser>
          <c:idx val="2"/>
          <c:order val="2"/>
          <c:tx>
            <c:strRef>
              <c:f>'Talnagögn | Numerical Data'!$E$135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9-4AE3-83AF-EFA415AA8726}"/>
            </c:ext>
          </c:extLst>
        </c:ser>
        <c:ser>
          <c:idx val="3"/>
          <c:order val="3"/>
          <c:tx>
            <c:strRef>
              <c:f>'Talnagögn | Numerical Data'!$E$136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9-4AE3-83AF-EFA415AA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 by</a:t>
            </a:r>
            <a:r>
              <a:rPr lang="en-GB" baseline="0"/>
              <a:t> Main Sources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Data'!$E$145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ED6-88DB-E782DD61E3AB}"/>
            </c:ext>
          </c:extLst>
        </c:ser>
        <c:ser>
          <c:idx val="1"/>
          <c:order val="1"/>
          <c:tx>
            <c:strRef>
              <c:f>'Talnagögn | Numerical Data'!$E$150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8-4ED6-88DB-E782DD61E3AB}"/>
            </c:ext>
          </c:extLst>
        </c:ser>
        <c:ser>
          <c:idx val="2"/>
          <c:order val="2"/>
          <c:tx>
            <c:strRef>
              <c:f>'Talnagögn | Numerical Data'!$E$151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8-4ED6-88DB-E782DD61E3AB}"/>
            </c:ext>
          </c:extLst>
        </c:ser>
        <c:ser>
          <c:idx val="3"/>
          <c:order val="3"/>
          <c:tx>
            <c:strRef>
              <c:f>'Talnagögn | Numerical Data'!$E$152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8-4ED6-88DB-E782DD61E3AB}"/>
            </c:ext>
          </c:extLst>
        </c:ser>
        <c:ser>
          <c:idx val="4"/>
          <c:order val="4"/>
          <c:tx>
            <c:strRef>
              <c:f>'Talnagögn | Numerical Data'!$E$153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8-4ED6-88DB-E782DD61E3AB}"/>
            </c:ext>
          </c:extLst>
        </c:ser>
        <c:ser>
          <c:idx val="5"/>
          <c:order val="5"/>
          <c:tx>
            <c:strRef>
              <c:f>'Talnagögn | Numerical Data'!$E$154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8-4ED6-88DB-E782DD61E3AB}"/>
            </c:ext>
          </c:extLst>
        </c:ser>
        <c:ser>
          <c:idx val="6"/>
          <c:order val="6"/>
          <c:tx>
            <c:strRef>
              <c:f>'Talnagögn | Numerical Data'!$E$155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8-4ED6-88DB-E782DD61E3AB}"/>
            </c:ext>
          </c:extLst>
        </c:ser>
        <c:ser>
          <c:idx val="7"/>
          <c:order val="7"/>
          <c:tx>
            <c:strRef>
              <c:f>'Talnagögn | Numerical Data'!$E$159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88-4ED6-88DB-E782DD61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 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Data'!$E$145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2-4768-A12B-6E4816866F51}"/>
            </c:ext>
          </c:extLst>
        </c:ser>
        <c:ser>
          <c:idx val="2"/>
          <c:order val="1"/>
          <c:tx>
            <c:strRef>
              <c:f>'Talnagögn | Numerical Data'!$E$151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2-4768-A12B-6E4816866F51}"/>
            </c:ext>
          </c:extLst>
        </c:ser>
        <c:ser>
          <c:idx val="1"/>
          <c:order val="2"/>
          <c:tx>
            <c:strRef>
              <c:f>'Talnagögn | Numerical Data'!$E$150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2-4768-A12B-6E4816866F51}"/>
            </c:ext>
          </c:extLst>
        </c:ser>
        <c:ser>
          <c:idx val="3"/>
          <c:order val="3"/>
          <c:tx>
            <c:strRef>
              <c:f>'Talnagögn | Numerical Data'!$E$152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2-4768-A12B-6E4816866F51}"/>
            </c:ext>
          </c:extLst>
        </c:ser>
        <c:ser>
          <c:idx val="5"/>
          <c:order val="4"/>
          <c:tx>
            <c:strRef>
              <c:f>'Talnagögn | Numerical Data'!$E$154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2-4768-A12B-6E4816866F51}"/>
            </c:ext>
          </c:extLst>
        </c:ser>
        <c:ser>
          <c:idx val="7"/>
          <c:order val="5"/>
          <c:tx>
            <c:strRef>
              <c:f>'Talnagögn | Numerical Data'!$E$159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D2-4768-A12B-6E4816866F51}"/>
            </c:ext>
          </c:extLst>
        </c:ser>
        <c:ser>
          <c:idx val="4"/>
          <c:order val="6"/>
          <c:tx>
            <c:strRef>
              <c:f>'Talnagögn | Numerical Data'!$E$153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2-4768-A12B-6E4816866F51}"/>
            </c:ext>
          </c:extLst>
        </c:ser>
        <c:ser>
          <c:idx val="6"/>
          <c:order val="7"/>
          <c:tx>
            <c:strRef>
              <c:f>'Talnagögn | Numerical Data'!$E$155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D2-4768-A12B-6E481686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4-4340-8EC0-029DC2A74D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4-4340-8EC0-029DC2A74D8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D4-4340-8EC0-029DC2A74D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4-4340-8EC0-029DC2A74D87}"/>
              </c:ext>
            </c:extLst>
          </c:dPt>
          <c:cat>
            <c:strRef>
              <c:f>'Talnagögn | Numerical Data'!$E$173:$E$177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Data'!$Z$173:$Z$177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D4-4340-8EC0-029DC2A7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0-44AC-AF0F-4CBDCAF89B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0-44AC-AF0F-4CBDCAF89BE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0-44AC-AF0F-4CBDCAF89B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0-44AC-AF0F-4CBDCAF89BE5}"/>
              </c:ext>
            </c:extLst>
          </c:dPt>
          <c:cat>
            <c:strRef>
              <c:f>'Talnagögn | Numerical Data'!$D$173:$D$177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Annað</c:v>
                </c:pt>
              </c:strCache>
            </c:strRef>
          </c:cat>
          <c:val>
            <c:numRef>
              <c:f>'Talnagögn | Numerical Data'!$Z$173:$Z$177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0-44AC-AF0F-4CBDCAF8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Data'!$E$173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1-40DC-B2BA-927247316360}"/>
            </c:ext>
          </c:extLst>
        </c:ser>
        <c:ser>
          <c:idx val="4"/>
          <c:order val="1"/>
          <c:tx>
            <c:strRef>
              <c:f>'Talnagögn | Numerical Data'!$E$174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1-40DC-B2BA-927247316360}"/>
            </c:ext>
          </c:extLst>
        </c:ser>
        <c:ser>
          <c:idx val="5"/>
          <c:order val="2"/>
          <c:tx>
            <c:strRef>
              <c:f>'Talnagögn | Numerical Data'!$E$175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1-40DC-B2BA-927247316360}"/>
            </c:ext>
          </c:extLst>
        </c:ser>
        <c:ser>
          <c:idx val="6"/>
          <c:order val="3"/>
          <c:tx>
            <c:strRef>
              <c:f>'Talnagögn | Numerical Data'!$E$176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1-40DC-B2BA-927247316360}"/>
            </c:ext>
          </c:extLst>
        </c:ser>
        <c:ser>
          <c:idx val="0"/>
          <c:order val="4"/>
          <c:tx>
            <c:strRef>
              <c:f>'Talnagögn | Numerical Data'!$E$177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71-40DC-B2BA-92724731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Data'!$E$167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2-4698-9965-AFAADAFC59C0}"/>
            </c:ext>
          </c:extLst>
        </c:ser>
        <c:ser>
          <c:idx val="1"/>
          <c:order val="1"/>
          <c:tx>
            <c:strRef>
              <c:f>'Talnagögn | Numerical Data'!$E$166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2-4698-9965-AFAADAFC59C0}"/>
            </c:ext>
          </c:extLst>
        </c:ser>
        <c:ser>
          <c:idx val="0"/>
          <c:order val="2"/>
          <c:tx>
            <c:strRef>
              <c:f>'Talnagögn | Numerical Data'!$E$165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2-4698-9965-AFAADAFC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Data'!$E$167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510-B054-A6B5CAED8E9D}"/>
            </c:ext>
          </c:extLst>
        </c:ser>
        <c:ser>
          <c:idx val="1"/>
          <c:order val="1"/>
          <c:tx>
            <c:strRef>
              <c:f>'Talnagögn | Numerical Data'!$E$166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B-4510-B054-A6B5CAED8E9D}"/>
            </c:ext>
          </c:extLst>
        </c:ser>
        <c:ser>
          <c:idx val="0"/>
          <c:order val="2"/>
          <c:tx>
            <c:strRef>
              <c:f>'Talnagögn | Numerical Data'!$E$165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B-4510-B054-A6B5CAED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Iceland's</a:t>
            </a:r>
          </a:p>
          <a:p>
            <a:pPr>
              <a:defRPr sz="1800"/>
            </a:pPr>
            <a:r>
              <a:rPr lang="en-US" sz="1600" b="1" baseline="0"/>
              <a:t>ESR Emissions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462678388731286"/>
          <c:y val="0.415834414677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1957247219457"/>
          <c:y val="4.349747698779672E-2"/>
          <c:w val="0.51954006453743273"/>
          <c:h val="0.90290249340342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6-4662-903F-06CA4E7A0053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6-4662-903F-06CA4E7A0053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6-4662-903F-06CA4E7A0053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6-4662-903F-06CA4E7A0053}"/>
              </c:ext>
            </c:extLst>
          </c:dPt>
          <c:dLbls>
            <c:dLbl>
              <c:idx val="0"/>
              <c:layout>
                <c:manualLayout>
                  <c:x val="0.20893400050928812"/>
                  <c:y val="-0.29850470382132216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B6-4662-903F-06CA4E7A0053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B6-4662-903F-06CA4E7A0053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0B6-4662-903F-06CA4E7A0053}"/>
                </c:ext>
              </c:extLst>
            </c:dLbl>
            <c:dLbl>
              <c:idx val="3"/>
              <c:layout>
                <c:manualLayout>
                  <c:x val="-0.23534847395286193"/>
                  <c:y val="-0.1734536156069345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0B6-4662-903F-06CA4E7A0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Data'!$E$133:$E$136</c:f>
              <c:strCache>
                <c:ptCount val="4"/>
                <c:pt idx="0">
                  <c:v>Energy</c:v>
                </c:pt>
                <c:pt idx="1">
                  <c:v>Industry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6-4662-903F-06CA4E7A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Data'!$D$133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8-4921-944F-AFD9E822F2B3}"/>
            </c:ext>
          </c:extLst>
        </c:ser>
        <c:ser>
          <c:idx val="2"/>
          <c:order val="1"/>
          <c:tx>
            <c:strRef>
              <c:f>'Talnagögn | Numerical Data'!$D$135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8-4921-944F-AFD9E822F2B3}"/>
            </c:ext>
          </c:extLst>
        </c:ser>
        <c:ser>
          <c:idx val="3"/>
          <c:order val="2"/>
          <c:tx>
            <c:strRef>
              <c:f>'Talnagögn | Numerical Data'!$D$136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8-4921-944F-AFD9E822F2B3}"/>
            </c:ext>
          </c:extLst>
        </c:ser>
        <c:ser>
          <c:idx val="1"/>
          <c:order val="3"/>
          <c:tx>
            <c:strRef>
              <c:f>'Talnagögn | Numerical Data'!$D$134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8-4921-944F-AFD9E822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Data'!$E$133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4-4EEE-9C6E-CAA6A75665FA}"/>
            </c:ext>
          </c:extLst>
        </c:ser>
        <c:ser>
          <c:idx val="2"/>
          <c:order val="1"/>
          <c:tx>
            <c:strRef>
              <c:f>'Talnagögn | Numerical Data'!$E$135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4-4EEE-9C6E-CAA6A75665FA}"/>
            </c:ext>
          </c:extLst>
        </c:ser>
        <c:ser>
          <c:idx val="3"/>
          <c:order val="2"/>
          <c:tx>
            <c:strRef>
              <c:f>'Talnagögn | Numerical Data'!$E$136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4-4EEE-9C6E-CAA6A75665FA}"/>
            </c:ext>
          </c:extLst>
        </c:ser>
        <c:ser>
          <c:idx val="1"/>
          <c:order val="3"/>
          <c:tx>
            <c:strRef>
              <c:f>'Talnagögn | Numerical Data'!$E$134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4-4EEE-9C6E-CAA6A756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Samfélagslosun Íslands 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Data'!$D$145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6-440F-A5BE-932C0FCB4F10}"/>
            </c:ext>
          </c:extLst>
        </c:ser>
        <c:ser>
          <c:idx val="2"/>
          <c:order val="1"/>
          <c:tx>
            <c:strRef>
              <c:f>'Talnagögn | Numerical Data'!$D$151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6-440F-A5BE-932C0FCB4F10}"/>
            </c:ext>
          </c:extLst>
        </c:ser>
        <c:ser>
          <c:idx val="1"/>
          <c:order val="2"/>
          <c:tx>
            <c:strRef>
              <c:f>'Talnagögn | Numerical Data'!$D$150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6-440F-A5BE-932C0FCB4F10}"/>
            </c:ext>
          </c:extLst>
        </c:ser>
        <c:ser>
          <c:idx val="3"/>
          <c:order val="3"/>
          <c:tx>
            <c:strRef>
              <c:f>'Talnagögn | Numerical Data'!$D$152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6-440F-A5BE-932C0FCB4F10}"/>
            </c:ext>
          </c:extLst>
        </c:ser>
        <c:ser>
          <c:idx val="5"/>
          <c:order val="4"/>
          <c:tx>
            <c:strRef>
              <c:f>'Talnagögn | Numerical Data'!$D$154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6-440F-A5BE-932C0FCB4F10}"/>
            </c:ext>
          </c:extLst>
        </c:ser>
        <c:ser>
          <c:idx val="7"/>
          <c:order val="5"/>
          <c:tx>
            <c:strRef>
              <c:f>'Talnagögn | Numerical Data'!$D$159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6-440F-A5BE-932C0FCB4F10}"/>
            </c:ext>
          </c:extLst>
        </c:ser>
        <c:ser>
          <c:idx val="4"/>
          <c:order val="6"/>
          <c:tx>
            <c:strRef>
              <c:f>'Talnagögn | Numerical Data'!$D$153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6-440F-A5BE-932C0FCB4F10}"/>
            </c:ext>
          </c:extLst>
        </c:ser>
        <c:ser>
          <c:idx val="6"/>
          <c:order val="7"/>
          <c:tx>
            <c:strRef>
              <c:f>'Talnagögn | Numerical Data'!$D$155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6-440F-A5BE-932C0FCB4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9900943734936"/>
          <c:y val="0.17018375667637553"/>
          <c:w val="0.61230235143278622"/>
          <c:h val="0.73024297545083361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Data'!$D$126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5-49F9-BF6D-E0B21A71F019}"/>
            </c:ext>
          </c:extLst>
        </c:ser>
        <c:ser>
          <c:idx val="2"/>
          <c:order val="1"/>
          <c:tx>
            <c:strRef>
              <c:f>'Talnagögn | Numerical Data'!$D$125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5-49F9-BF6D-E0B21A71F019}"/>
            </c:ext>
          </c:extLst>
        </c:ser>
        <c:ser>
          <c:idx val="0"/>
          <c:order val="2"/>
          <c:tx>
            <c:strRef>
              <c:f>'Talnagögn | Numerical Data'!$D$123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5-49F9-BF6D-E0B21A71F019}"/>
            </c:ext>
          </c:extLst>
        </c:ser>
        <c:ser>
          <c:idx val="1"/>
          <c:order val="3"/>
          <c:tx>
            <c:strRef>
              <c:f>'Talnagögn | Numerical Data'!$D$124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5-49F9-BF6D-E0B21A71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Data'!$D$173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5-42E8-96A2-DD11F7D77F63}"/>
            </c:ext>
          </c:extLst>
        </c:ser>
        <c:ser>
          <c:idx val="4"/>
          <c:order val="1"/>
          <c:tx>
            <c:strRef>
              <c:f>'Talnagögn | Numerical Data'!$D$174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5-42E8-96A2-DD11F7D77F63}"/>
            </c:ext>
          </c:extLst>
        </c:ser>
        <c:ser>
          <c:idx val="5"/>
          <c:order val="2"/>
          <c:tx>
            <c:strRef>
              <c:f>'Talnagögn | Numerical Data'!$D$175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5-42E8-96A2-DD11F7D77F63}"/>
            </c:ext>
          </c:extLst>
        </c:ser>
        <c:ser>
          <c:idx val="6"/>
          <c:order val="3"/>
          <c:tx>
            <c:strRef>
              <c:f>'Talnagögn | Numerical Data'!$D$176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5-42E8-96A2-DD11F7D77F63}"/>
            </c:ext>
          </c:extLst>
        </c:ser>
        <c:ser>
          <c:idx val="0"/>
          <c:order val="4"/>
          <c:tx>
            <c:strRef>
              <c:f>'Talnagögn | Numerical Data'!$D$177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5-42E8-96A2-DD11F7D7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layout>
        <c:manualLayout>
          <c:xMode val="edge"/>
          <c:yMode val="edge"/>
          <c:x val="0.2016946614583333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Data'!$D$175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7-416E-931D-948D84FA9328}"/>
            </c:ext>
          </c:extLst>
        </c:ser>
        <c:ser>
          <c:idx val="4"/>
          <c:order val="1"/>
          <c:tx>
            <c:strRef>
              <c:f>'Talnagögn | Numerical Data'!$D$174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7-416E-931D-948D84FA9328}"/>
            </c:ext>
          </c:extLst>
        </c:ser>
        <c:ser>
          <c:idx val="6"/>
          <c:order val="2"/>
          <c:tx>
            <c:strRef>
              <c:f>'Talnagögn | Numerical Data'!$D$176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7-416E-931D-948D84FA9328}"/>
            </c:ext>
          </c:extLst>
        </c:ser>
        <c:ser>
          <c:idx val="0"/>
          <c:order val="3"/>
          <c:tx>
            <c:strRef>
              <c:f>'Talnagögn | Numerical Data'!$D$177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37-416E-931D-948D84FA9328}"/>
            </c:ext>
          </c:extLst>
        </c:ser>
        <c:ser>
          <c:idx val="3"/>
          <c:order val="4"/>
          <c:tx>
            <c:strRef>
              <c:f>'Talnagögn | Numerical Data'!$D$173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7-416E-931D-948D84FA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Data'!$E$175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D-4A2C-A71A-796A25EAE436}"/>
            </c:ext>
          </c:extLst>
        </c:ser>
        <c:ser>
          <c:idx val="4"/>
          <c:order val="1"/>
          <c:tx>
            <c:strRef>
              <c:f>'Talnagögn | Numerical Data'!$E$174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D-4A2C-A71A-796A25EAE436}"/>
            </c:ext>
          </c:extLst>
        </c:ser>
        <c:ser>
          <c:idx val="6"/>
          <c:order val="2"/>
          <c:tx>
            <c:strRef>
              <c:f>'Talnagögn | Numerical Data'!$E$176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BD-4A2C-A71A-796A25EAE436}"/>
            </c:ext>
          </c:extLst>
        </c:ser>
        <c:ser>
          <c:idx val="0"/>
          <c:order val="3"/>
          <c:tx>
            <c:strRef>
              <c:f>'Talnagögn | Numerical Data'!$E$177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BD-4A2C-A71A-796A25EAE436}"/>
            </c:ext>
          </c:extLst>
        </c:ser>
        <c:ser>
          <c:idx val="3"/>
          <c:order val="4"/>
          <c:tx>
            <c:strRef>
              <c:f>'Talnagögn | Numerical Data'!$E$173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D-4A2C-A71A-796A25EA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681575720595644E-2"/>
          <c:y val="0.10855478636726108"/>
          <c:w val="0.61789669438350281"/>
          <c:h val="0.794113744842650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Data'!$D$167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ADA-A886-C807F7CFAAFE}"/>
            </c:ext>
          </c:extLst>
        </c:ser>
        <c:ser>
          <c:idx val="1"/>
          <c:order val="1"/>
          <c:tx>
            <c:strRef>
              <c:f>'Talnagögn | Numerical Data'!$D$166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ADA-A886-C807F7CFAAFE}"/>
            </c:ext>
          </c:extLst>
        </c:ser>
        <c:ser>
          <c:idx val="0"/>
          <c:order val="2"/>
          <c:tx>
            <c:strRef>
              <c:f>'Talnagögn | Numerical Data'!$D$165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4-4ADA-A886-C807F7CF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88791490238224"/>
          <c:y val="0.48847730256850497"/>
          <c:w val="0.28011208509761781"/>
          <c:h val="0.205249477568285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56424722538902E-2"/>
          <c:y val="0.10852292946238348"/>
          <c:w val="0.59505796070559724"/>
          <c:h val="0.79417416501448834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Data'!$D$167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B-42E8-A547-6C83BB008DBC}"/>
            </c:ext>
          </c:extLst>
        </c:ser>
        <c:ser>
          <c:idx val="1"/>
          <c:order val="1"/>
          <c:tx>
            <c:strRef>
              <c:f>'Talnagögn | Numerical Data'!$D$166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B-42E8-A547-6C83BB008DBC}"/>
            </c:ext>
          </c:extLst>
        </c:ser>
        <c:ser>
          <c:idx val="0"/>
          <c:order val="2"/>
          <c:tx>
            <c:strRef>
              <c:f>'Talnagögn | Numerical Data'!$D$165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B-42E8-A547-6C83BB00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2643261519873"/>
          <c:y val="0.46414264653550913"/>
          <c:w val="0.29743569755847227"/>
          <c:h val="0.14795638249199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Losun frá ETS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staðbundnum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iðnaði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184310412020342"/>
          <c:y val="0.39526102370974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5-4A09-92C7-CA9A16DD2A5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5-4A09-92C7-CA9A16DD2A5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5-4A09-92C7-CA9A16DD2A57}"/>
              </c:ext>
            </c:extLst>
          </c:dPt>
          <c:dLbls>
            <c:dLbl>
              <c:idx val="0"/>
              <c:layout>
                <c:manualLayout>
                  <c:x val="0.20370462176813348"/>
                  <c:y val="-0.2520883621832263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7790C9-9D81-431F-8F18-AD83AD1AF65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A2038E4-13BD-480C-985C-5703CD9F6F27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29902B3-1DF8-4030-B35C-B694492CBC85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90746833393179"/>
                      <c:h val="0.273672011890327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05-4A09-92C7-CA9A16DD2A57}"/>
                </c:ext>
              </c:extLst>
            </c:dLbl>
            <c:dLbl>
              <c:idx val="1"/>
              <c:layout>
                <c:manualLayout>
                  <c:x val="0.19068898425699812"/>
                  <c:y val="0.2776520546479227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E3A2B-AC1D-4BB6-8FF3-8E619B76AEF7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2BFEB3F-7A8D-41BE-9A06-3DB0C2BE020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2EA0A6F-D057-436A-A26F-1668A077C4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2804434585654"/>
                      <c:h val="0.20069542146966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05-4A09-92C7-CA9A16DD2A57}"/>
                </c:ext>
              </c:extLst>
            </c:dLbl>
            <c:dLbl>
              <c:idx val="2"/>
              <c:layout>
                <c:manualLayout>
                  <c:x val="-0.20993683669369911"/>
                  <c:y val="-0.250063149482881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5F6B16-EB34-4B7C-9686-514D4BA8B8A4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1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CB30902-B58F-413B-9FE1-74EAFA58B241}" type="VALUE">
                      <a:rPr lang="en-US" sz="1100" baseline="0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400EE611-91F9-4CE9-8909-8B4AEAEFB16B}" type="PERCENTAGE">
                      <a:rPr lang="en-US" sz="1100" baseline="0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1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145998524296894"/>
                      <c:h val="0.209305342511692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D05-4A09-92C7-CA9A16DD2A57}"/>
                </c:ext>
              </c:extLst>
            </c:dLbl>
            <c:numFmt formatCode="0.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Obligations'!$D$319:$D$321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'Skuldbindingar | Obligations'!$E$319:$E$321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05-4A09-92C7-CA9A16DD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from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ETS Stationary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Industry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450646971916487"/>
          <c:y val="0.40863420241022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A-4426-9254-2551154C6C82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A-4426-9254-2551154C6C82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A-4426-9254-2551154C6C82}"/>
              </c:ext>
            </c:extLst>
          </c:dPt>
          <c:dLbls>
            <c:dLbl>
              <c:idx val="0"/>
              <c:layout>
                <c:manualLayout>
                  <c:x val="0.21327391650759611"/>
                  <c:y val="-0.1993699000258625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F49B72-26EA-4EDC-B621-0F1D057D883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C55B38C-3B91-4CA6-BDC9-F6FF2939BA8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80ACE5-77C6-455D-A37D-58DDA22FA66C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2361016339197"/>
                      <c:h val="0.256891056949367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3A-4426-9254-2551154C6C82}"/>
                </c:ext>
              </c:extLst>
            </c:dLbl>
            <c:dLbl>
              <c:idx val="1"/>
              <c:layout>
                <c:manualLayout>
                  <c:x val="0.20485835233964594"/>
                  <c:y val="0.20819321057709947"/>
                </c:manualLayout>
              </c:layout>
              <c:tx>
                <c:rich>
                  <a:bodyPr/>
                  <a:lstStyle/>
                  <a:p>
                    <a:fld id="{61B1FE87-716C-4A66-931F-C2DC5B43CB1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2F314BA-037F-437F-8AE6-F859194038A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99FCF14-3945-492C-A338-A5C97D7AF90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396220859584"/>
                      <c:h val="0.233785404763999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3A-4426-9254-2551154C6C82}"/>
                </c:ext>
              </c:extLst>
            </c:dLbl>
            <c:dLbl>
              <c:idx val="2"/>
              <c:layout>
                <c:manualLayout>
                  <c:x val="-0.20880262801762653"/>
                  <c:y val="-0.224701952830869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1345CA-6143-4E05-BA8F-E8134D716A3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="0" baseline="0"/>
                      <a:t>
</a:t>
                    </a:r>
                    <a:fld id="{CB824B63-D9AF-4B3C-B736-145BC946D35D}" type="VALUE">
                      <a:rPr lang="en-US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="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r>
                      <a:rPr lang="en-US" b="0" baseline="0"/>
                      <a:t>
</a:t>
                    </a:r>
                    <a:fld id="{A756EEDD-F1B9-4549-B5B2-5D65F9077762}" type="PERCENTAGE">
                      <a:rPr lang="en-US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="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7942367397534"/>
                      <c:h val="0.26029433490167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3A-4426-9254-2551154C6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Obligations'!$W$319:$W$321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'Skuldbindingar | Obligations'!$X$319:$X$321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A-4426-9254-2551154C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ndard"/>
        <c:varyColors val="0"/>
        <c:ser>
          <c:idx val="0"/>
          <c:order val="0"/>
          <c:tx>
            <c:v>ESR Emissions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Data'!$H$131:$AH$131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Data'!$H$137:$AG$137</c:f>
              <c:numCache>
                <c:formatCode>0</c:formatCode>
                <c:ptCount val="26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504-8CEB-FA9FA728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Data'!$E$140</c:f>
              <c:strCache>
                <c:ptCount val="1"/>
                <c:pt idx="0">
                  <c:v>Annual ESR Emission Allocations*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Data'!$H$131:$AG$131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Data'!$H$140:$AG$140</c:f>
              <c:numCache>
                <c:formatCode>0</c:formatCode>
                <c:ptCount val="26"/>
                <c:pt idx="0" formatCode="General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2412.2963946380655</c:v>
                </c:pt>
                <c:pt idx="22">
                  <c:v>2267.848323478549</c:v>
                </c:pt>
                <c:pt idx="23">
                  <c:v>2123.4002523190325</c:v>
                </c:pt>
                <c:pt idx="24">
                  <c:v>1978.9521811595162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6-4504-8CEB-FA9FA728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5708874179734"/>
          <c:y val="0.94779833782816891"/>
          <c:w val="0.7724941342794802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ndard"/>
        <c:varyColors val="0"/>
        <c:ser>
          <c:idx val="0"/>
          <c:order val="0"/>
          <c:tx>
            <c:v>Samfélagslosun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Data'!$H$131:$AH$131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Data'!$H$137:$AG$137</c:f>
              <c:numCache>
                <c:formatCode>0</c:formatCode>
                <c:ptCount val="26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C-47D6-B944-B3AF17E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Data'!$D$140</c:f>
              <c:strCache>
                <c:ptCount val="1"/>
                <c:pt idx="0">
                  <c:v>Losunarúthlutanir*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Data'!$H$131:$AG$131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Data'!$H$140:$AG$140</c:f>
              <c:numCache>
                <c:formatCode>0</c:formatCode>
                <c:ptCount val="26"/>
                <c:pt idx="0" formatCode="General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2412.2963946380655</c:v>
                </c:pt>
                <c:pt idx="22">
                  <c:v>2267.848323478549</c:v>
                </c:pt>
                <c:pt idx="23">
                  <c:v>2123.4002523190325</c:v>
                </c:pt>
                <c:pt idx="24">
                  <c:v>1978.9521811595162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C-47D6-B944-B3AF17E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5708874179734"/>
          <c:y val="0.94779833782816891"/>
          <c:w val="0.7724941342794802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ESR 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8703545379096669"/>
          <c:y val="0.423251706604707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734370136345722"/>
          <c:y val="0.11594177693060446"/>
          <c:w val="0.43090723067853182"/>
          <c:h val="0.7720388741251931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D-45C5-8726-516F61177D11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D-45C5-8726-516F61177D11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4D-45C5-8726-516F61177D11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D-45C5-8726-516F61177D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4D-45C5-8726-516F61177D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4D-45C5-8726-516F61177D11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4D-45C5-8726-516F61177D11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4D-45C5-8726-516F61177D11}"/>
              </c:ext>
            </c:extLst>
          </c:dPt>
          <c:dLbls>
            <c:dLbl>
              <c:idx val="0"/>
              <c:layout>
                <c:manualLayout>
                  <c:x val="0.18149415530386526"/>
                  <c:y val="-0.160872989635713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37879811506047"/>
                      <c:h val="0.166066152802185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4D-45C5-8726-516F61177D11}"/>
                </c:ext>
              </c:extLst>
            </c:dLbl>
            <c:dLbl>
              <c:idx val="1"/>
              <c:layout>
                <c:manualLayout>
                  <c:x val="0.18498603880172254"/>
                  <c:y val="0.1469387944484075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4D-45C5-8726-516F61177D11}"/>
                </c:ext>
              </c:extLst>
            </c:dLbl>
            <c:dLbl>
              <c:idx val="2"/>
              <c:layout>
                <c:manualLayout>
                  <c:x val="-0.13084555274902099"/>
                  <c:y val="0.16278899354880577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4D-45C5-8726-516F61177D11}"/>
                </c:ext>
              </c:extLst>
            </c:dLbl>
            <c:dLbl>
              <c:idx val="3"/>
              <c:layout>
                <c:manualLayout>
                  <c:x val="-0.20841525045141962"/>
                  <c:y val="0.100662047407695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4D-45C5-8726-516F61177D11}"/>
                </c:ext>
              </c:extLst>
            </c:dLbl>
            <c:dLbl>
              <c:idx val="4"/>
              <c:layout>
                <c:manualLayout>
                  <c:x val="-0.29269524504666772"/>
                  <c:y val="-2.78971240938878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897523-03AA-42BE-906E-B3C4316D603E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100" b="0" baseline="0"/>
                      <a:t>
</a:t>
                    </a:r>
                    <a:fld id="{900F717E-3A1D-4B0C-A324-2BC0D2F6BD7C}" type="VALUE">
                      <a:rPr lang="en-US" sz="11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r>
                      <a:rPr lang="en-US" sz="1100" b="0" baseline="0"/>
                      <a:t>
</a:t>
                    </a:r>
                    <a:fld id="{63A208C0-ECFA-41C7-AB44-1C26745EA48D}" type="PERCENTAGE">
                      <a:rPr lang="en-US" sz="11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100" b="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44D-45C5-8726-516F61177D11}"/>
                </c:ext>
              </c:extLst>
            </c:dLbl>
            <c:dLbl>
              <c:idx val="5"/>
              <c:layout>
                <c:manualLayout>
                  <c:x val="-0.22819159974838166"/>
                  <c:y val="-0.102867558053789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44D-45C5-8726-516F61177D11}"/>
                </c:ext>
              </c:extLst>
            </c:dLbl>
            <c:dLbl>
              <c:idx val="6"/>
              <c:layout>
                <c:manualLayout>
                  <c:x val="-0.31406580220806096"/>
                  <c:y val="-0.2331867785306489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26431693568667"/>
                      <c:h val="0.197496278157305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44D-45C5-8726-516F61177D11}"/>
                </c:ext>
              </c:extLst>
            </c:dLbl>
            <c:dLbl>
              <c:idx val="7"/>
              <c:layout>
                <c:manualLayout>
                  <c:x val="-0.13186443899515579"/>
                  <c:y val="-0.215692494631734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44D-45C5-8726-516F61177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Obligations'!$W$182:$W$189</c:f>
              <c:strCache>
                <c:ptCount val="8"/>
                <c:pt idx="0">
                  <c:v>Road Transportation</c:v>
                </c:pt>
                <c:pt idx="1">
                  <c:v>Fishing</c:v>
                </c:pt>
                <c:pt idx="2">
                  <c:v>Agriculture</c:v>
                </c:pt>
                <c:pt idx="3">
                  <c:v>Solid Waste Disposal on Land</c:v>
                </c:pt>
                <c:pt idx="4">
                  <c:v>F-Gases</c:v>
                </c:pt>
                <c:pt idx="5">
                  <c:v>Geothermal Energy</c:v>
                </c:pt>
                <c:pt idx="6">
                  <c:v>Off-Road Vehicles and Other Machinery</c:v>
                </c:pt>
                <c:pt idx="7">
                  <c:v>Other</c:v>
                </c:pt>
              </c:strCache>
            </c:strRef>
          </c:cat>
          <c:val>
            <c:numRef>
              <c:f>'Skuldbindingar | Obligations'!$E$182:$E$189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693.89491902799296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4D-45C5-8726-516F61177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8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949909555688686"/>
          <c:y val="0.452128472578074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349208103344985"/>
          <c:y val="6.8300367180625307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9-443F-8EDA-B67B979406E2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9-443F-8EDA-B67B979406E2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F9-443F-8EDA-B67B979406E2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9-443F-8EDA-B67B979406E2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9-443F-8EDA-B67B979406E2}"/>
              </c:ext>
            </c:extLst>
          </c:dPt>
          <c:dLbls>
            <c:dLbl>
              <c:idx val="0"/>
              <c:layout>
                <c:manualLayout>
                  <c:x val="-0.24472823824976969"/>
                  <c:y val="4.812582635629136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A9EA2292-6204-4278-A742-C0DC2D3ED94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3117265800206"/>
                      <c:h val="0.18014494398480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F9-443F-8EDA-B67B979406E2}"/>
                </c:ext>
              </c:extLst>
            </c:dLbl>
            <c:dLbl>
              <c:idx val="1"/>
              <c:layout>
                <c:manualLayout>
                  <c:x val="-0.21632379957723721"/>
                  <c:y val="-3.74490363097195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C081B4E-E3BC-44AA-8304-C81EA4573251}" type="CATEGORYNAME">
                      <a:rPr lang="en-US" sz="1100" b="1"/>
                      <a:pPr>
                        <a:defRPr sz="1100"/>
                      </a:pPr>
                      <a:t>[CATEGORY NAME]</a:t>
                    </a:fld>
                    <a:r>
                      <a:rPr lang="en-US" sz="1100" b="0" baseline="0"/>
                      <a:t>
</a:t>
                    </a:r>
                    <a:fld id="{B5B0315A-565C-453B-AA84-0568A3DBD7B7}" type="VALUE">
                      <a:rPr lang="en-US" sz="1100" b="0" baseline="0"/>
                      <a:pPr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="0" baseline="0"/>
                      <a:t>
</a:t>
                    </a:r>
                    <a:fld id="{2B618588-BF7B-41B9-9843-8929618E4BDE}" type="PERCENTAGE">
                      <a:rPr lang="en-US" sz="1100" b="0" baseline="0"/>
                      <a:pPr>
                        <a:defRPr sz="1100"/>
                      </a:pPr>
                      <a:t>[PERCENTAGE]</a:t>
                    </a:fld>
                    <a:endParaRPr lang="en-US" sz="1100" b="0" baseline="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18992572006037"/>
                      <c:h val="0.20405628777715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F9-443F-8EDA-B67B979406E2}"/>
                </c:ext>
              </c:extLst>
            </c:dLbl>
            <c:dLbl>
              <c:idx val="2"/>
              <c:layout>
                <c:manualLayout>
                  <c:x val="-0.23037482829562242"/>
                  <c:y val="-0.202109894352500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F67B7C-36B9-4328-94B2-FCF50D53C16D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653B996-0D56-4670-B106-3715CCE8EBE8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2429E722-45C1-4ADF-A307-7F957E76063A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32941343017732"/>
                      <c:h val="0.160763220973128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F9-443F-8EDA-B67B979406E2}"/>
                </c:ext>
              </c:extLst>
            </c:dLbl>
            <c:dLbl>
              <c:idx val="3"/>
              <c:layout>
                <c:manualLayout>
                  <c:x val="0.20288995456504166"/>
                  <c:y val="-2.1168168210849046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E095C5F-A9B6-4A71-B5BD-62FF081C653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B9C32234-11AA-4E5B-9528-20C6909782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1271059634324"/>
                      <c:h val="0.225410352892331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F9-443F-8EDA-B67B979406E2}"/>
                </c:ext>
              </c:extLst>
            </c:dLbl>
            <c:dLbl>
              <c:idx val="4"/>
              <c:layout>
                <c:manualLayout>
                  <c:x val="-0.16299095227910249"/>
                  <c:y val="0.177964284917463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91D730-0AC8-45C7-A43C-13191D22601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6CB422A1-E55C-4CB9-8392-498D619C2B13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82A63583-BE5F-4D28-8FFE-F26CD27B1A4F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03117242376819"/>
                      <c:h val="0.15858571454901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F9-443F-8EDA-B67B97940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Emissions'!$D$7:$D$11</c:f>
              <c:strCache>
                <c:ptCount val="5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Landnotkun (LULUCF)</c:v>
                </c:pt>
                <c:pt idx="4">
                  <c:v>Úrgangur</c:v>
                </c:pt>
              </c:strCache>
            </c:strRef>
          </c:cat>
          <c:val>
            <c:numRef>
              <c:f>'Losun | Emissions'!$E$7:$E$11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8042.6370814570228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F9-443F-8EDA-B67B9794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9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 </a:t>
            </a: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losunar frá</a:t>
            </a:r>
          </a:p>
          <a:p>
            <a:pPr>
              <a:defRPr/>
            </a:pP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landnotkun</a:t>
            </a:r>
          </a:p>
        </c:rich>
      </c:tx>
      <c:layout>
        <c:manualLayout>
          <c:xMode val="edge"/>
          <c:yMode val="edge"/>
          <c:x val="0.39745745711440195"/>
          <c:y val="0.40059871032129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14270833333332"/>
          <c:y val="8.9000925925925928E-2"/>
          <c:w val="0.43846822916666672"/>
          <c:h val="0.779499074074074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EB-4F21-8799-ADBC9E1313C0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EB-4F21-8799-ADBC9E1313C0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EB-4F21-8799-ADBC9E1313C0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EB-4F21-8799-ADBC9E1313C0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2E5444-D045-4967-A116-D173F4B5BB9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2BFA168E-3233-4803-B00B-13990E65893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53DBEDAD-EA1B-4659-BBAB-188B0F13124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EB-4F21-8799-ADBC9E1313C0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71C5BB-9C84-4F63-804E-762D55E7A44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6662C37-EEE3-4A28-863E-B3C5E19681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7A35FD79-CDA5-4D4A-89ED-114A0C33BAF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EB-4F21-8799-ADBC9E1313C0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6CD64-816C-4A6E-B198-B53272107E6D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DE72933-C415-4FDC-933D-900DE58F313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D3F4A2C-636C-4549-93C3-BB976AF9C64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EB-4F21-8799-ADBC9E1313C0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C53C4E-9392-47A7-99CB-0D46ADB0895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AB88BE49-91BC-4E2F-B159-078A9B5441C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490BD91-37FD-4D5D-8D9B-6F4A92F526C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EB-4F21-8799-ADBC9E131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Emissions'!$D$18:$D$21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Emissions'!$E$18:$E$21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EB-4F21-8799-ADBC9E13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Data'!$D$103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2-4792-9F01-CD5E8C9EE1FD}"/>
            </c:ext>
          </c:extLst>
        </c:ser>
        <c:ser>
          <c:idx val="1"/>
          <c:order val="1"/>
          <c:tx>
            <c:strRef>
              <c:f>'Talnagögn | Numerical Data'!$D$104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2-4792-9F01-CD5E8C9EE1FD}"/>
            </c:ext>
          </c:extLst>
        </c:ser>
        <c:ser>
          <c:idx val="2"/>
          <c:order val="2"/>
          <c:tx>
            <c:strRef>
              <c:f>'Talnagögn | Numerical Data'!$D$105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2-4792-9F01-CD5E8C9EE1FD}"/>
            </c:ext>
          </c:extLst>
        </c:ser>
        <c:ser>
          <c:idx val="3"/>
          <c:order val="3"/>
          <c:tx>
            <c:strRef>
              <c:f>'Talnagögn | Numerical Data'!$D$106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2-4792-9F01-CD5E8C9E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Data'!$D$74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B-4AC8-8B50-BA754CD2E2AD}"/>
            </c:ext>
          </c:extLst>
        </c:ser>
        <c:ser>
          <c:idx val="6"/>
          <c:order val="1"/>
          <c:tx>
            <c:strRef>
              <c:f>'Talnagögn | Numerical Data'!$D$78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B-4AC8-8B50-BA754CD2E2AD}"/>
            </c:ext>
          </c:extLst>
        </c:ser>
        <c:ser>
          <c:idx val="0"/>
          <c:order val="2"/>
          <c:tx>
            <c:strRef>
              <c:f>'Talnagögn | Numerical Data'!$D$73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B-4AC8-8B50-BA754CD2E2AD}"/>
            </c:ext>
          </c:extLst>
        </c:ser>
        <c:ser>
          <c:idx val="10"/>
          <c:order val="3"/>
          <c:tx>
            <c:strRef>
              <c:f>'Talnagögn | Numerical Data'!$D$82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B-4AC8-8B50-BA754CD2E2AD}"/>
            </c:ext>
          </c:extLst>
        </c:ser>
        <c:ser>
          <c:idx val="14"/>
          <c:order val="4"/>
          <c:tx>
            <c:strRef>
              <c:f>'Talnagögn | Numerical Data'!$D$86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B-4AC8-8B50-BA754CD2E2AD}"/>
            </c:ext>
          </c:extLst>
        </c:ser>
        <c:ser>
          <c:idx val="1"/>
          <c:order val="5"/>
          <c:tx>
            <c:strRef>
              <c:f>'Talnagögn | Numerical Data'!$D$87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CB-4AC8-8B50-BA754CD2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Alþjóða-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samgöngur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3004182337097457"/>
          <c:y val="0.429319516465865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F-4A98-9BBB-CED3A1FEBC9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F-4A98-9BBB-CED3A1FEBC9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AF-4A98-9BBB-CED3A1FEBC9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þús.</a:t>
                    </a:r>
                    <a:r>
                      <a:rPr lang="en-US" sz="1100" baseline="0"/>
                      <a:t>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AF-4A98-9BBB-CED3A1FEB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Emissions'!$D$604:$D$605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Emissions'!$E$604:$E$605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F-4A98-9BBB-CED3A1FE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AAF-4A98-9BBB-CED3A1FEBC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AAF-4A98-9BBB-CED3A1FEBC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Emissions'!$D$604:$D$605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Emissions'!$F$604:$F$605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AAF-4A98-9BBB-CED3A1FEBC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Data'!$D$112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CB9-B4D6-8131C285D32A}"/>
            </c:ext>
          </c:extLst>
        </c:ser>
        <c:ser>
          <c:idx val="1"/>
          <c:order val="1"/>
          <c:tx>
            <c:strRef>
              <c:f>'Talnagögn | Numerical Data'!$D$113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CB9-B4D6-8131C285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16C-43DB-B9A3-0F87BD7F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  <c:extLst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439622395833337"/>
          <c:y val="0.93910740740740728"/>
          <c:w val="0.59469843749999995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931640625"/>
          <c:y val="0.10871435185185185"/>
          <c:w val="0.76001575520833331"/>
          <c:h val="0.77287962962962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Data'!$D$93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E-489B-8BDE-42A5C27C1DA0}"/>
            </c:ext>
          </c:extLst>
        </c:ser>
        <c:ser>
          <c:idx val="1"/>
          <c:order val="1"/>
          <c:tx>
            <c:strRef>
              <c:f>'Talnagögn | Numerical Data'!$D$94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E-489B-8BDE-42A5C27C1DA0}"/>
            </c:ext>
          </c:extLst>
        </c:ser>
        <c:ser>
          <c:idx val="2"/>
          <c:order val="2"/>
          <c:tx>
            <c:strRef>
              <c:f>'Talnagögn | Numerical Data'!$D$95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E-489B-8BDE-42A5C27C1DA0}"/>
            </c:ext>
          </c:extLst>
        </c:ser>
        <c:ser>
          <c:idx val="3"/>
          <c:order val="3"/>
          <c:tx>
            <c:strRef>
              <c:f>'Talnagögn | Numerical Data'!$D$96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E-489B-8BDE-42A5C27C1DA0}"/>
            </c:ext>
          </c:extLst>
        </c:ser>
        <c:ser>
          <c:idx val="5"/>
          <c:order val="4"/>
          <c:tx>
            <c:strRef>
              <c:f>'Talnagögn | Numerical Data'!$D$97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3E-489B-8BDE-42A5C27C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Agriculture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138638827588605"/>
          <c:y val="0.457235157172020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3-4985-A5B7-ACB8D73BE58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3-4985-A5B7-ACB8D73BE58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3-4985-A5B7-ACB8D73BE58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3-4985-A5B7-ACB8D73BE583}"/>
              </c:ext>
            </c:extLst>
          </c:dPt>
          <c:dLbls>
            <c:dLbl>
              <c:idx val="0"/>
              <c:layout>
                <c:manualLayout>
                  <c:x val="-0.32452373259201422"/>
                  <c:y val="0.10654837962962962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64826464879345"/>
                      <c:h val="0.17954844241484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43-4985-A5B7-ACB8D73BE583}"/>
                </c:ext>
              </c:extLst>
            </c:dLbl>
            <c:dLbl>
              <c:idx val="1"/>
              <c:layout>
                <c:manualLayout>
                  <c:x val="-0.2069649280078823"/>
                  <c:y val="-0.19480100155932029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5721332198427"/>
                      <c:h val="0.179548498426795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43-4985-A5B7-ACB8D73BE583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43-4985-A5B7-ACB8D73BE583}"/>
                </c:ext>
              </c:extLst>
            </c:dLbl>
            <c:dLbl>
              <c:idx val="3"/>
              <c:layout>
                <c:manualLayout>
                  <c:x val="0.23230219131557017"/>
                  <c:y val="4.37227645725521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25517274123212"/>
                      <c:h val="0.276259365853576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43-4985-A5B7-ACB8D73BE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Emissions'!$AF$330:$AF$333</c:f>
              <c:strCache>
                <c:ptCount val="4"/>
                <c:pt idx="0">
                  <c:v>Enteric Fermentation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'Losun | Emissions'!$E$330:$E$333</c:f>
              <c:numCache>
                <c:formatCode>0</c:formatCode>
                <c:ptCount val="4"/>
                <c:pt idx="0">
                  <c:v>296.65361728195182</c:v>
                </c:pt>
                <c:pt idx="1">
                  <c:v>71.550937732966503</c:v>
                </c:pt>
                <c:pt idx="2">
                  <c:v>317.81139122299118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3-4985-A5B7-ACB8D73B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Data'!$E$62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7-4061-8F90-E647A67D9386}"/>
            </c:ext>
          </c:extLst>
        </c:ser>
        <c:ser>
          <c:idx val="0"/>
          <c:order val="1"/>
          <c:tx>
            <c:strRef>
              <c:f>'Talnagögn | Numerical Data'!$E$61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7-4061-8F90-E647A67D9386}"/>
            </c:ext>
          </c:extLst>
        </c:ser>
        <c:ser>
          <c:idx val="2"/>
          <c:order val="2"/>
          <c:tx>
            <c:strRef>
              <c:f>'Talnagögn | Numerical Data'!$E$63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7-4061-8F90-E647A67D9386}"/>
            </c:ext>
          </c:extLst>
        </c:ser>
        <c:ser>
          <c:idx val="3"/>
          <c:order val="3"/>
          <c:tx>
            <c:strRef>
              <c:f>'Talnagögn | Numerical Data'!$E$64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7-4061-8F90-E647A67D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date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Offset val="100"/>
        <c:baseTimeUnit val="days"/>
        <c:majorUnit val="1"/>
        <c:majorTimeUnit val="days"/>
      </c:date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840509849835038"/>
          <c:y val="0.449791700650523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8643577953544"/>
          <c:y val="0.10070073266302708"/>
          <c:w val="0.4490397754940269"/>
          <c:h val="0.7952171553979089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8C-41AB-85A3-A9416101224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8C-41AB-85A3-A9416101224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8C-41AB-85A3-A9416101224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8C-41AB-85A3-A9416101224D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8C-41AB-85A3-A9416101224D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8C-41AB-85A3-A9416101224D}"/>
              </c:ext>
            </c:extLst>
          </c:dPt>
          <c:dLbls>
            <c:dLbl>
              <c:idx val="0"/>
              <c:layout>
                <c:manualLayout>
                  <c:x val="0.14708254678788152"/>
                  <c:y val="0.19987369076336847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50414295664632"/>
                      <c:h val="0.174519492330113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E8C-41AB-85A3-A9416101224D}"/>
                </c:ext>
              </c:extLst>
            </c:dLbl>
            <c:dLbl>
              <c:idx val="1"/>
              <c:layout>
                <c:manualLayout>
                  <c:x val="-0.18957069987482006"/>
                  <c:y val="0.13521861308844121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E8C-41AB-85A3-A9416101224D}"/>
                </c:ext>
              </c:extLst>
            </c:dLbl>
            <c:dLbl>
              <c:idx val="2"/>
              <c:layout>
                <c:manualLayout>
                  <c:x val="-0.21784161343288477"/>
                  <c:y val="-0.188937831577195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839953654290954"/>
                      <c:h val="0.167306083775557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E8C-41AB-85A3-A9416101224D}"/>
                </c:ext>
              </c:extLst>
            </c:dLbl>
            <c:dLbl>
              <c:idx val="3"/>
              <c:layout>
                <c:manualLayout>
                  <c:x val="0.16155638273623499"/>
                  <c:y val="-0.176153009259259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E8C-41AB-85A3-A9416101224D}"/>
                </c:ext>
              </c:extLst>
            </c:dLbl>
            <c:dLbl>
              <c:idx val="4"/>
              <c:layout>
                <c:manualLayout>
                  <c:x val="0.20584934083603806"/>
                  <c:y val="-8.3784722222222233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19410497679852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E8C-41AB-85A3-A9416101224D}"/>
                </c:ext>
              </c:extLst>
            </c:dLbl>
            <c:dLbl>
              <c:idx val="5"/>
              <c:layout>
                <c:manualLayout>
                  <c:x val="0.23733505378974018"/>
                  <c:y val="9.992653702476107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E8C-41AB-85A3-A94161012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Emissions'!$AF$399:$AF$404</c:f>
              <c:strCache>
                <c:ptCount val="6"/>
                <c:pt idx="0">
                  <c:v>Fertilizer Use in Agriculture</c:v>
                </c:pt>
                <c:pt idx="1">
                  <c:v>Cattle</c:v>
                </c:pt>
                <c:pt idx="2">
                  <c:v>Sheep</c:v>
                </c:pt>
                <c:pt idx="3">
                  <c:v>Horses</c:v>
                </c:pt>
                <c:pt idx="4">
                  <c:v>Cultivation of Organic Soils (N₂O)</c:v>
                </c:pt>
                <c:pt idx="5">
                  <c:v>Other Emissions</c:v>
                </c:pt>
              </c:strCache>
            </c:strRef>
          </c:cat>
          <c:val>
            <c:numRef>
              <c:f>'Losun | Emissions'!$E$399:$E$404</c:f>
              <c:numCache>
                <c:formatCode>0</c:formatCode>
                <c:ptCount val="6"/>
                <c:pt idx="0">
                  <c:v>126.50383382562947</c:v>
                </c:pt>
                <c:pt idx="1">
                  <c:v>178.97421547805752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198.71402688906983</c:v>
                </c:pt>
                <c:pt idx="5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8C-41AB-85A3-A9416101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7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E8C-41AB-85A3-A9416101224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E8C-41AB-85A3-A9416101224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E8C-41AB-85A3-A9416101224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E8C-41AB-85A3-A9416101224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E8C-41AB-85A3-A9416101224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E8C-41AB-85A3-A9416101224D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Emissions'!$AF$399:$AF$404</c15:sqref>
                        </c15:formulaRef>
                      </c:ext>
                    </c:extLst>
                    <c:strCache>
                      <c:ptCount val="6"/>
                      <c:pt idx="0">
                        <c:v>Fertilizer Use in Agriculture</c:v>
                      </c:pt>
                      <c:pt idx="1">
                        <c:v>Cattle</c:v>
                      </c:pt>
                      <c:pt idx="2">
                        <c:v>Sheep</c:v>
                      </c:pt>
                      <c:pt idx="3">
                        <c:v>Horses</c:v>
                      </c:pt>
                      <c:pt idx="4">
                        <c:v>Cultivation of Organic Soils (N₂O)</c:v>
                      </c:pt>
                      <c:pt idx="5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Emissions'!$F$399:$F$404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9E8C-41AB-85A3-A9416101224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Úrgangur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340183983358249"/>
          <c:y val="0.447993807766698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33072916666668"/>
          <c:y val="4.192129629629629E-2"/>
          <c:w val="0.50541666666666674"/>
          <c:h val="0.898518518518518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D-4BC2-A809-7639578298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D-4BC2-A809-7639578298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D-4BC2-A809-7639578298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7D-4BC2-A809-763957829840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D-4BC2-A809-763957829840}"/>
                </c:ext>
              </c:extLst>
            </c:dLbl>
            <c:dLbl>
              <c:idx val="1"/>
              <c:layout>
                <c:manualLayout>
                  <c:x val="0.20505208333333333"/>
                  <c:y val="-0.1971414102385461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7D-4BC2-A809-763957829840}"/>
                </c:ext>
              </c:extLst>
            </c:dLbl>
            <c:dLbl>
              <c:idx val="2"/>
              <c:layout>
                <c:manualLayout>
                  <c:x val="0.22821197916666663"/>
                  <c:y val="2.65378999370294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7187499999"/>
                      <c:h val="0.220381903646873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7D-4BC2-A809-763957829840}"/>
                </c:ext>
              </c:extLst>
            </c:dLbl>
            <c:dLbl>
              <c:idx val="3"/>
              <c:layout>
                <c:manualLayout>
                  <c:x val="0.18107421875000002"/>
                  <c:y val="0.1852083333333333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723138020833334"/>
                      <c:h val="0.17474282407407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7D-4BC2-A809-763957829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Emissions'!$D$535:$D$538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| Emissions'!$E$535:$E$538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D-4BC2-A809-76395782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Waste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4408491794980876"/>
          <c:y val="0.44018923275223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0856473301617"/>
          <c:y val="6.25E-2"/>
          <c:w val="0.4817685006752408"/>
          <c:h val="0.860300925925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0-4F53-9479-E1F7A96C1DB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0-4F53-9479-E1F7A96C1DB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0-4F53-9479-E1F7A96C1DB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0-4F53-9479-E1F7A96C1DBC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Solid</a:t>
                    </a:r>
                    <a:r>
                      <a:rPr lang="en-US" sz="1200" b="1" baseline="0"/>
                      <a:t> Waste Disposal on Land</a:t>
                    </a:r>
                    <a:endParaRPr lang="en-US" sz="1200" b="1"/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E10-4F53-9479-E1F7A96C1DBC}"/>
                </c:ext>
              </c:extLst>
            </c:dLbl>
            <c:dLbl>
              <c:idx val="1"/>
              <c:layout>
                <c:manualLayout>
                  <c:x val="0.21616180614026453"/>
                  <c:y val="-0.302187544959768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Biological Treatment of Solid Waste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>
                        <a:solidFill>
                          <a:sysClr val="windowText" lastClr="000000"/>
                        </a:solidFill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6646947545676"/>
                      <c:h val="0.239658187954015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10-4F53-9479-E1F7A96C1DBC}"/>
                </c:ext>
              </c:extLst>
            </c:dLbl>
            <c:dLbl>
              <c:idx val="2"/>
              <c:layout>
                <c:manualLayout>
                  <c:x val="0.2256893855726016"/>
                  <c:y val="3.449589164839863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6993435465"/>
                      <c:h val="0.2681301598775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10-4F53-9479-E1F7A96C1DBC}"/>
                </c:ext>
              </c:extLst>
            </c:dLbl>
            <c:dLbl>
              <c:idx val="3"/>
              <c:layout>
                <c:manualLayout>
                  <c:x val="0.19218395537708832"/>
                  <c:y val="0.2186001758747359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45085346250996"/>
                      <c:h val="0.24152650915687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10-4F53-9479-E1F7A96C1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Emissions'!$AF$535:$AF$538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'Losun | Emissions'!$E$535:$E$538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0-4F53-9479-E1F7A96C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Data'!$E$103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8E3-9B90-75E5FD5C2ADD}"/>
            </c:ext>
          </c:extLst>
        </c:ser>
        <c:ser>
          <c:idx val="1"/>
          <c:order val="1"/>
          <c:tx>
            <c:strRef>
              <c:f>'Talnagögn | Numerical Data'!$E$104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A-48E3-9B90-75E5FD5C2ADD}"/>
            </c:ext>
          </c:extLst>
        </c:ser>
        <c:ser>
          <c:idx val="2"/>
          <c:order val="2"/>
          <c:tx>
            <c:strRef>
              <c:f>'Talnagögn | Numerical Data'!$E$105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A-48E3-9B90-75E5FD5C2ADD}"/>
            </c:ext>
          </c:extLst>
        </c:ser>
        <c:ser>
          <c:idx val="3"/>
          <c:order val="3"/>
          <c:tx>
            <c:strRef>
              <c:f>'Talnagögn | Numerical Data'!$E$106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A-48E3-9B90-75E5FD5C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Data'!$E$103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E-492A-BBDC-678D282177CC}"/>
            </c:ext>
          </c:extLst>
        </c:ser>
        <c:ser>
          <c:idx val="1"/>
          <c:order val="1"/>
          <c:tx>
            <c:strRef>
              <c:f>'Talnagögn | Numerical Data'!$E$104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E-492A-BBDC-678D282177CC}"/>
            </c:ext>
          </c:extLst>
        </c:ser>
        <c:ser>
          <c:idx val="2"/>
          <c:order val="2"/>
          <c:tx>
            <c:strRef>
              <c:f>'Talnagögn | Numerical Data'!$E$105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E-492A-BBDC-678D282177CC}"/>
            </c:ext>
          </c:extLst>
        </c:ser>
        <c:ser>
          <c:idx val="3"/>
          <c:order val="3"/>
          <c:tx>
            <c:strRef>
              <c:f>'Talnagögn | Numerical Data'!$E$106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FE-492A-BBDC-678D2821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International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Transportation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77731515331915"/>
          <c:y val="0.426344166885718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D-4063-BD62-D9D10A8C14B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D-4063-BD62-D9D10A8C14B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3D-4063-BD62-D9D10A8C14B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aseline="0"/>
                      <a:t>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3D-4063-BD62-D9D10A8C1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Emissions'!$AF$604:$AF$605</c:f>
              <c:strCache>
                <c:ptCount val="2"/>
                <c:pt idx="0">
                  <c:v>International Aviation</c:v>
                </c:pt>
                <c:pt idx="1">
                  <c:v>International Navigation</c:v>
                </c:pt>
              </c:strCache>
            </c:strRef>
          </c:cat>
          <c:val>
            <c:numRef>
              <c:f>'Losun | Emissions'!$E$604:$E$605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D-4063-BD62-D9D10A8C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E3D-4063-BD62-D9D10A8C14B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E3D-4063-BD62-D9D10A8C14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Emissions'!$AF$604:$AF$605</c15:sqref>
                        </c15:formulaRef>
                      </c:ext>
                    </c:extLst>
                    <c:strCache>
                      <c:ptCount val="2"/>
                      <c:pt idx="0">
                        <c:v>International Aviation</c:v>
                      </c:pt>
                      <c:pt idx="1">
                        <c:v>International Navigation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Emissions'!$F$604:$F$605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E3D-4063-BD62-D9D10A8C14B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Data'!$E$112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F-4691-8E67-92F026C3B5FF}"/>
            </c:ext>
          </c:extLst>
        </c:ser>
        <c:ser>
          <c:idx val="1"/>
          <c:order val="1"/>
          <c:tx>
            <c:strRef>
              <c:f>'Talnagögn | Numerical Data'!$E$113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F-4691-8E67-92F026C3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C-4D1C-B5E5-296077B911F3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C-4D1C-B5E5-296077B911F3}"/>
            </c:ext>
          </c:extLst>
        </c:ser>
        <c:ser>
          <c:idx val="1"/>
          <c:order val="2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C-4D1C-B5E5-296077B911F3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C-4D1C-B5E5-296077B911F3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C-4D1C-B5E5-296077B9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6-40B5-A059-D81BA184AFC6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6-40B5-A059-D81BA184AFC6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6-40B5-A059-D81BA184AFC6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6-40B5-A059-D81BA184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3-4D2C-8BB1-8905E094BF7C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3-4D2C-8BB1-8905E094BF7C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3-4D2C-8BB1-8905E094BF7C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3-4D2C-8BB1-8905E094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379-9259-2C612040AF38}"/>
            </c:ext>
          </c:extLst>
        </c:ser>
        <c:ser>
          <c:idx val="0"/>
          <c:order val="1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379-9259-2C612040AF38}"/>
            </c:ext>
          </c:extLst>
        </c:ser>
        <c:ser>
          <c:idx val="1"/>
          <c:order val="2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379-9259-2C612040AF38}"/>
            </c:ext>
          </c:extLst>
        </c:ser>
        <c:ser>
          <c:idx val="5"/>
          <c:order val="3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379-9259-2C612040AF38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379-9259-2C612040AF38}"/>
            </c:ext>
          </c:extLst>
        </c:ser>
        <c:ser>
          <c:idx val="2"/>
          <c:order val="5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379-9259-2C612040AF38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379-9259-2C612040AF38}"/>
            </c:ext>
          </c:extLst>
        </c:ser>
        <c:ser>
          <c:idx val="7"/>
          <c:order val="7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379-9259-2C612040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93A-80BE-1A71E6DF88E9}"/>
            </c:ext>
          </c:extLst>
        </c:ser>
        <c:ser>
          <c:idx val="1"/>
          <c:order val="1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93A-80BE-1A71E6DF88E9}"/>
            </c:ext>
          </c:extLst>
        </c:ser>
        <c:ser>
          <c:idx val="5"/>
          <c:order val="2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93A-80BE-1A71E6DF88E9}"/>
            </c:ext>
          </c:extLst>
        </c:ser>
        <c:ser>
          <c:idx val="0"/>
          <c:order val="3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93A-80BE-1A71E6DF88E9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93A-80BE-1A71E6DF88E9}"/>
            </c:ext>
          </c:extLst>
        </c:ser>
        <c:ser>
          <c:idx val="7"/>
          <c:order val="5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F-493A-80BE-1A71E6DF88E9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F-493A-80BE-1A71E6DF88E9}"/>
            </c:ext>
          </c:extLst>
        </c:ser>
        <c:ser>
          <c:idx val="2"/>
          <c:order val="7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F-493A-80BE-1A71E6DF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layout>
        <c:manualLayout>
          <c:xMode val="edge"/>
          <c:yMode val="edge"/>
          <c:x val="0.11951643605431246"/>
          <c:y val="2.2692257696494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6-4E41-8BAC-ADD850E0FC65}"/>
            </c:ext>
          </c:extLst>
        </c:ser>
        <c:ser>
          <c:idx val="0"/>
          <c:order val="1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6-4E41-8BAC-ADD850E0FC65}"/>
            </c:ext>
          </c:extLst>
        </c:ser>
        <c:ser>
          <c:idx val="1"/>
          <c:order val="2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6-4E41-8BAC-ADD850E0FC65}"/>
            </c:ext>
          </c:extLst>
        </c:ser>
        <c:ser>
          <c:idx val="5"/>
          <c:order val="3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6-4E41-8BAC-ADD850E0FC65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6-4E41-8BAC-ADD850E0FC65}"/>
            </c:ext>
          </c:extLst>
        </c:ser>
        <c:ser>
          <c:idx val="2"/>
          <c:order val="5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36-4E41-8BAC-ADD850E0FC65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6-4E41-8BAC-ADD850E0FC65}"/>
            </c:ext>
          </c:extLst>
        </c:ser>
        <c:ser>
          <c:idx val="7"/>
          <c:order val="7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36-4E41-8BAC-ADD850E0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A-4105-ADB0-C50C08A7A7A0}"/>
            </c:ext>
          </c:extLst>
        </c:ser>
        <c:ser>
          <c:idx val="1"/>
          <c:order val="1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A-4105-ADB0-C50C08A7A7A0}"/>
            </c:ext>
          </c:extLst>
        </c:ser>
        <c:ser>
          <c:idx val="5"/>
          <c:order val="2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DA-4105-ADB0-C50C08A7A7A0}"/>
            </c:ext>
          </c:extLst>
        </c:ser>
        <c:ser>
          <c:idx val="0"/>
          <c:order val="3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A-4105-ADB0-C50C08A7A7A0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DA-4105-ADB0-C50C08A7A7A0}"/>
            </c:ext>
          </c:extLst>
        </c:ser>
        <c:ser>
          <c:idx val="7"/>
          <c:order val="5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DA-4105-ADB0-C50C08A7A7A0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DA-4105-ADB0-C50C08A7A7A0}"/>
            </c:ext>
          </c:extLst>
        </c:ser>
        <c:ser>
          <c:idx val="2"/>
          <c:order val="7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A-4105-ADB0-C50C08A7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ORKA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5853307291666665"/>
          <c:y val="0.496828703703703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752213541666668"/>
          <c:y val="0.14162175925925924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3-4C32-B9E9-92667C12606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3-4C32-B9E9-92667C12606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3-4C32-B9E9-92667C12606D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3-4C32-B9E9-92667C1260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3-4C32-B9E9-92667C12606D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3-4C32-B9E9-92667C12606D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3-4C32-B9E9-92667C12606D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3-4C32-B9E9-92667C12606D}"/>
              </c:ext>
            </c:extLst>
          </c:dPt>
          <c:dLbls>
            <c:dLbl>
              <c:idx val="0"/>
              <c:layout>
                <c:manualLayout>
                  <c:x val="0.13802447916666666"/>
                  <c:y val="-0.16740462962962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D76421-6174-4AB1-A4A1-A21B75BB8144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34EDE46-27D7-4686-85FD-08EF849D8586}" type="VALU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34A9B3C-4506-4DEE-B3D3-DBB55EEA4E70}" type="PERCENTAG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C3-4C32-B9E9-92667C12606D}"/>
                </c:ext>
              </c:extLst>
            </c:dLbl>
            <c:dLbl>
              <c:idx val="1"/>
              <c:layout>
                <c:manualLayout>
                  <c:x val="0.21805104166666667"/>
                  <c:y val="9.2999537037037033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69817708333333"/>
                      <c:h val="0.161357175925925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C3-4C32-B9E9-92667C12606D}"/>
                </c:ext>
              </c:extLst>
            </c:dLbl>
            <c:dLbl>
              <c:idx val="2"/>
              <c:layout>
                <c:manualLayout>
                  <c:x val="-0.23476562500000001"/>
                  <c:y val="0.295672453703703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74257886543351"/>
                      <c:h val="0.136865279848675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C3-4C32-B9E9-92667C12606D}"/>
                </c:ext>
              </c:extLst>
            </c:dLbl>
            <c:dLbl>
              <c:idx val="3"/>
              <c:layout>
                <c:manualLayout>
                  <c:x val="-0.32091432291666666"/>
                  <c:y val="0.143016319444444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C3-4C32-B9E9-92667C12606D}"/>
                </c:ext>
              </c:extLst>
            </c:dLbl>
            <c:dLbl>
              <c:idx val="4"/>
              <c:layout>
                <c:manualLayout>
                  <c:x val="-0.20215234374999999"/>
                  <c:y val="6.9548611111111113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C3-4C32-B9E9-92667C12606D}"/>
                </c:ext>
              </c:extLst>
            </c:dLbl>
            <c:dLbl>
              <c:idx val="5"/>
              <c:layout>
                <c:manualLayout>
                  <c:x val="-0.28948203124999999"/>
                  <c:y val="-0.1422517361111111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758958333333333"/>
                      <c:h val="0.176125462962962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FC3-4C32-B9E9-92667C12606D}"/>
                </c:ext>
              </c:extLst>
            </c:dLbl>
            <c:dLbl>
              <c:idx val="6"/>
              <c:layout>
                <c:manualLayout>
                  <c:x val="-0.33384843749999998"/>
                  <c:y val="-0.2647511574074074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C3-4C32-B9E9-92667C12606D}"/>
                </c:ext>
              </c:extLst>
            </c:dLbl>
            <c:dLbl>
              <c:idx val="7"/>
              <c:layout>
                <c:manualLayout>
                  <c:x val="-0.14324544270833334"/>
                  <c:y val="-0.217545138888888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C3-4C32-B9E9-92667C12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Emissions'!$D$185:$D$192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staðbundins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| Emissions'!$E$185:$E$192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C3-4C32-B9E9-92667C12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Energy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8442031250000015"/>
          <c:y val="0.49405995370370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855755208333333"/>
          <c:y val="0.13608449074074075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3-4750-B04E-4FA7294882B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3-4750-B04E-4FA7294882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3-4750-B04E-4FA7294882B6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3-4750-B04E-4FA7294882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3-4750-B04E-4FA7294882B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3-4750-B04E-4FA7294882B6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03-4750-B04E-4FA7294882B6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03-4750-B04E-4FA7294882B6}"/>
              </c:ext>
            </c:extLst>
          </c:dPt>
          <c:dLbls>
            <c:dLbl>
              <c:idx val="0"/>
              <c:layout>
                <c:manualLayout>
                  <c:x val="0.16613645833333332"/>
                  <c:y val="-0.16740462962962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91815E-681B-42ED-9624-01FBB04D2D4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5C074B23-5B08-46C9-9EC7-C8B85EDA16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74259D6-FC4D-4D27-A2D5-1F85CC99AB6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03-4750-B04E-4FA7294882B6}"/>
                </c:ext>
              </c:extLst>
            </c:dLbl>
            <c:dLbl>
              <c:idx val="1"/>
              <c:layout>
                <c:manualLayout>
                  <c:x val="0.20520566406249999"/>
                  <c:y val="8.9003472222222227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62526041666663"/>
                      <c:h val="0.1804236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03-4750-B04E-4FA7294882B6}"/>
                </c:ext>
              </c:extLst>
            </c:dLbl>
            <c:dLbl>
              <c:idx val="2"/>
              <c:layout>
                <c:manualLayout>
                  <c:x val="-0.18805865885416667"/>
                  <c:y val="0.298013194444444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20831625405751"/>
                      <c:h val="0.13686531061074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03-4750-B04E-4FA7294882B6}"/>
                </c:ext>
              </c:extLst>
            </c:dLbl>
            <c:dLbl>
              <c:idx val="3"/>
              <c:layout>
                <c:manualLayout>
                  <c:x val="-0.37067322047438583"/>
                  <c:y val="0.1785362255996965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65898437499999"/>
                      <c:h val="0.183149537037037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03-4750-B04E-4FA7294882B6}"/>
                </c:ext>
              </c:extLst>
            </c:dLbl>
            <c:dLbl>
              <c:idx val="4"/>
              <c:layout>
                <c:manualLayout>
                  <c:x val="-0.32127340263243204"/>
                  <c:y val="-3.7194819525261319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81359089786782"/>
                      <c:h val="0.199660438109640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03-4750-B04E-4FA7294882B6}"/>
                </c:ext>
              </c:extLst>
            </c:dLbl>
            <c:dLbl>
              <c:idx val="5"/>
              <c:layout>
                <c:manualLayout>
                  <c:x val="-0.34827590370246503"/>
                  <c:y val="-0.142108818937329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1607065779408"/>
                      <c:h val="0.198330681920509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03-4750-B04E-4FA7294882B6}"/>
                </c:ext>
              </c:extLst>
            </c:dLbl>
            <c:dLbl>
              <c:idx val="6"/>
              <c:layout>
                <c:manualLayout>
                  <c:x val="-0.29148437500000002"/>
                  <c:y val="-0.2072388888888888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Geothermal Energy</a:t>
                    </a:r>
                  </a:p>
                  <a:p>
                    <a:r>
                      <a:rPr lang="en-US" sz="1100" b="0"/>
                      <a:t>190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/>
                  </a:p>
                  <a:p>
                    <a:r>
                      <a:rPr lang="en-US" sz="1100" b="0"/>
                      <a:t>11%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E703-4750-B04E-4FA7294882B6}"/>
                </c:ext>
              </c:extLst>
            </c:dLbl>
            <c:dLbl>
              <c:idx val="7"/>
              <c:layout>
                <c:manualLayout>
                  <c:x val="-0.11537509108108647"/>
                  <c:y val="-0.217545325342408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703-4750-B04E-4FA72948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Emissions'!$AF$185:$AF$192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Domestic Navigation</c:v>
                </c:pt>
                <c:pt idx="4">
                  <c:v>Off-Road Vehicles and Other Machinery</c:v>
                </c:pt>
                <c:pt idx="5">
                  <c:v>Fuel Combustion in Stationary Industry</c:v>
                </c:pt>
                <c:pt idx="6">
                  <c:v>Geothermal Energy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Emissions'!$E$185:$E$192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03-4750-B04E-4FA72948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E-4025-B42D-B8C925953A21}"/>
            </c:ext>
          </c:extLst>
        </c:ser>
        <c:ser>
          <c:idx val="1"/>
          <c:order val="1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E-4025-B42D-B8C925953A21}"/>
            </c:ext>
          </c:extLst>
        </c:ser>
        <c:ser>
          <c:idx val="2"/>
          <c:order val="2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E-4025-B42D-B8C925953A21}"/>
            </c:ext>
          </c:extLst>
        </c:ser>
        <c:ser>
          <c:idx val="3"/>
          <c:order val="3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E-4025-B42D-B8C925953A21}"/>
            </c:ext>
          </c:extLst>
        </c:ser>
        <c:ser>
          <c:idx val="4"/>
          <c:order val="4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E-4025-B42D-B8C925953A21}"/>
            </c:ext>
          </c:extLst>
        </c:ser>
        <c:ser>
          <c:idx val="5"/>
          <c:order val="5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E-4025-B42D-B8C925953A21}"/>
            </c:ext>
          </c:extLst>
        </c:ser>
        <c:ser>
          <c:idx val="6"/>
          <c:order val="6"/>
          <c:tx>
            <c:strRef>
              <c:f>'Talnagögn | Numerical Data'!$E$40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E-4025-B42D-B8C925953A21}"/>
            </c:ext>
          </c:extLst>
        </c:ser>
        <c:ser>
          <c:idx val="7"/>
          <c:order val="7"/>
          <c:tx>
            <c:strRef>
              <c:f>'Talnagögn | Numerical Data'!$E$41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E-4025-B42D-B8C92595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Algn val="ctr"/>
        <c:lblOffset val="100"/>
        <c:tickLblSkip val="1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75A-B1AF-D35C8BF09E6B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D-475A-B1AF-D35C8BF09E6B}"/>
            </c:ext>
          </c:extLst>
        </c:ser>
        <c:ser>
          <c:idx val="2"/>
          <c:order val="2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D-475A-B1AF-D35C8BF09E6B}"/>
            </c:ext>
          </c:extLst>
        </c:ser>
        <c:ser>
          <c:idx val="3"/>
          <c:order val="3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D-475A-B1AF-D35C8BF09E6B}"/>
            </c:ext>
          </c:extLst>
        </c:ser>
        <c:ser>
          <c:idx val="4"/>
          <c:order val="4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D-475A-B1AF-D35C8BF09E6B}"/>
            </c:ext>
          </c:extLst>
        </c:ser>
        <c:ser>
          <c:idx val="5"/>
          <c:order val="5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FD-475A-B1AF-D35C8BF09E6B}"/>
            </c:ext>
          </c:extLst>
        </c:ser>
        <c:ser>
          <c:idx val="6"/>
          <c:order val="6"/>
          <c:tx>
            <c:strRef>
              <c:f>'Talnagögn | Numerical Data'!$D$40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D-475A-B1AF-D35C8BF09E6B}"/>
            </c:ext>
          </c:extLst>
        </c:ser>
        <c:ser>
          <c:idx val="7"/>
          <c:order val="7"/>
          <c:tx>
            <c:strRef>
              <c:f>'Talnagögn | Numerical Data'!$D$41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FD-475A-B1AF-D35C8BF0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50130208333337"/>
          <c:y val="0.34056504629629625"/>
          <c:w val="0.31849869791666668"/>
          <c:h val="0.39524629629629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vörunotkun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99989090164285"/>
          <c:y val="0.420482324457880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E77-B534-A7F5B642BF9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E77-B534-A7F5B642BF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C-4E77-B534-A7F5B642BF92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C-4E77-B534-A7F5B642BF92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C-4E77-B534-A7F5B642BF92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C-4E77-B534-A7F5B642BF92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C-4E77-B534-A7F5B642BF92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1C-4E77-B534-A7F5B642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Emissions'!$D$257:$D$260</c:f>
              <c:strCache>
                <c:ptCount val="4"/>
                <c:pt idx="0">
                  <c:v>Álframleiðsla</c:v>
                </c:pt>
                <c:pt idx="1">
                  <c:v>Kísil- og kísilmálmframleiðsla</c:v>
                </c:pt>
                <c:pt idx="2">
                  <c:v>F-gös (m.a. kælimiðlar)</c:v>
                </c:pt>
                <c:pt idx="3">
                  <c:v>Önnur losun</c:v>
                </c:pt>
              </c:strCache>
            </c:strRef>
          </c:cat>
          <c:val>
            <c:numRef>
              <c:f>'Losun | Emissions'!$E$257:$E$260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1C-4E77-B534-A7F5B64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4B1C-4E77-B534-A7F5B642B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4B1C-4E77-B534-A7F5B642B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4B1C-4E77-B534-A7F5B642B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4B1C-4E77-B534-A7F5B642BF92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Emissions'!$D$257:$D$260</c15:sqref>
                        </c15:formulaRef>
                      </c:ext>
                    </c:extLst>
                    <c:strCache>
                      <c:ptCount val="4"/>
                      <c:pt idx="0">
                        <c:v>Álframleiðsla</c:v>
                      </c:pt>
                      <c:pt idx="1">
                        <c:v>Kísil- og kísilmálmframleiðsla</c:v>
                      </c:pt>
                      <c:pt idx="2">
                        <c:v>F-gös (m.a. kælimiðlar)</c:v>
                      </c:pt>
                      <c:pt idx="3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Emissions'!$F$257:$F$260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B1C-4E77-B534-A7F5B642BF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IPPU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410804087155483"/>
          <c:y val="0.450214804447879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1-4E7C-8D00-B7BE293732D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1-4E7C-8D00-B7BE293732D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1-4E7C-8D00-B7BE293732D9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1-4E7C-8D00-B7BE293732D9}"/>
              </c:ext>
            </c:extLst>
          </c:dPt>
          <c:dLbls>
            <c:dLbl>
              <c:idx val="0"/>
              <c:layout>
                <c:manualLayout>
                  <c:x val="0.23857741549951356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47988869788183"/>
                      <c:h val="0.17498241876074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B1-4E7C-8D00-B7BE293732D9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1-4E7C-8D00-B7BE293732D9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B1-4E7C-8D00-B7BE293732D9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B1-4E7C-8D00-B7BE29373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Emissions'!$AF$257:$AF$260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 Emissions</c:v>
                </c:pt>
              </c:strCache>
            </c:strRef>
          </c:cat>
          <c:val>
            <c:numRef>
              <c:f>'Losun | Emissions'!$E$257:$E$260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1-4E7C-8D00-B7BE293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24B1-4E7C-8D00-B7BE293732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4B1-4E7C-8D00-B7BE293732D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4B1-4E7C-8D00-B7BE293732D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4B1-4E7C-8D00-B7BE293732D9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Emissions'!$AF$257:$AF$260</c15:sqref>
                        </c15:formulaRef>
                      </c:ext>
                    </c:extLst>
                    <c:strCache>
                      <c:ptCount val="4"/>
                      <c:pt idx="0">
                        <c:v>Aluminium Production</c:v>
                      </c:pt>
                      <c:pt idx="1">
                        <c:v>Ferrosilicon and Silicon Metal Production</c:v>
                      </c:pt>
                      <c:pt idx="2">
                        <c:v>F-Gases</c:v>
                      </c:pt>
                      <c:pt idx="3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Emissions'!$F$257:$F$260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24B1-4E7C-8D00-B7BE293732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Data'!$D$48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F-4AA7-BDE4-382DB69D7D2F}"/>
            </c:ext>
          </c:extLst>
        </c:ser>
        <c:ser>
          <c:idx val="4"/>
          <c:order val="1"/>
          <c:tx>
            <c:strRef>
              <c:f>'Talnagögn | Numerical Data'!$D$54</c:f>
              <c:strCache>
                <c:ptCount val="1"/>
                <c:pt idx="0">
                  <c:v>   Smurefni og leysiefni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F-4AA7-BDE4-382DB69D7D2F}"/>
            </c:ext>
          </c:extLst>
        </c:ser>
        <c:ser>
          <c:idx val="5"/>
          <c:order val="2"/>
          <c:tx>
            <c:strRef>
              <c:f>'Talnagögn | Numerical Data'!$D$49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F-4AA7-BDE4-382DB69D7D2F}"/>
            </c:ext>
          </c:extLst>
        </c:ser>
        <c:ser>
          <c:idx val="6"/>
          <c:order val="3"/>
          <c:tx>
            <c:strRef>
              <c:f>'Talnagögn | Numerical Data'!$D$55</c:f>
              <c:strCache>
                <c:ptCount val="1"/>
                <c:pt idx="0">
                  <c:v>   Efnanotkun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F-4AA7-BDE4-382DB69D7D2F}"/>
            </c:ext>
          </c:extLst>
        </c:ser>
        <c:ser>
          <c:idx val="0"/>
          <c:order val="4"/>
          <c:tx>
            <c:strRef>
              <c:f>'Talnagögn | Numerical Data'!$D$51</c:f>
              <c:strCache>
                <c:ptCount val="1"/>
                <c:pt idx="0">
                  <c:v>   Steinefnaiðnaður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F-4AA7-BDE4-382DB69D7D2F}"/>
            </c:ext>
          </c:extLst>
        </c:ser>
        <c:ser>
          <c:idx val="2"/>
          <c:order val="5"/>
          <c:tx>
            <c:strRef>
              <c:f>'Talnagögn | Numerical Data'!$D$47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F-4AA7-BDE4-382DB69D7D2F}"/>
            </c:ext>
          </c:extLst>
        </c:ser>
        <c:ser>
          <c:idx val="1"/>
          <c:order val="6"/>
          <c:tx>
            <c:strRef>
              <c:f>'Talnagögn | Numerical Data'!$D$52</c:f>
              <c:strCache>
                <c:ptCount val="1"/>
                <c:pt idx="0">
                  <c:v>   Efnaiðnaður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F-4AA7-BDE4-382DB69D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71589770821858"/>
          <c:y val="0.454163274397364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AD-46C4-AF39-E65465116299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AD-46C4-AF39-E6546511629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D-46C4-AF39-E6546511629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AD-46C4-AF39-E65465116299}"/>
              </c:ext>
            </c:extLst>
          </c:dPt>
          <c:dLbls>
            <c:dLbl>
              <c:idx val="0"/>
              <c:layout>
                <c:manualLayout>
                  <c:x val="-0.28348037103692458"/>
                  <c:y val="0.13084421296296297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4AD-46C4-AF39-E65465116299}"/>
                </c:ext>
              </c:extLst>
            </c:dLbl>
            <c:dLbl>
              <c:idx val="1"/>
              <c:layout>
                <c:manualLayout>
                  <c:x val="-0.18029452955794401"/>
                  <c:y val="-0.19480105572672307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AD-46C4-AF39-E65465116299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AD-46C4-AF39-E65465116299}"/>
                </c:ext>
              </c:extLst>
            </c:dLbl>
            <c:dLbl>
              <c:idx val="3"/>
              <c:layout>
                <c:manualLayout>
                  <c:x val="0.21166666666666667"/>
                  <c:y val="1.763888888888888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AD-46C4-AF39-E65465116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Emissions'!$D$330:$D$333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'Losun | Emissions'!$E$330:$E$333</c:f>
              <c:numCache>
                <c:formatCode>0</c:formatCode>
                <c:ptCount val="4"/>
                <c:pt idx="0">
                  <c:v>296.65361728195182</c:v>
                </c:pt>
                <c:pt idx="1">
                  <c:v>71.550937732966503</c:v>
                </c:pt>
                <c:pt idx="2">
                  <c:v>317.81139122299118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AD-46C4-AF39-E65465116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4AD-46C4-AF39-E654651162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4AD-46C4-AF39-E6546511629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4AD-46C4-AF39-E6546511629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4AD-46C4-AF39-E654651162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Emissions'!$D$330:$D$333</c15:sqref>
                        </c15:formulaRef>
                      </c:ext>
                    </c:extLst>
                    <c:strCache>
                      <c:ptCount val="4"/>
                      <c:pt idx="0">
                        <c:v>Iðragerjun</c:v>
                      </c:pt>
                      <c:pt idx="1">
                        <c:v>Meðhöndlun húsdýraáburðar</c:v>
                      </c:pt>
                      <c:pt idx="2">
                        <c:v>Nytjajarðvegur</c:v>
                      </c:pt>
                      <c:pt idx="3">
                        <c:v>Kölkun og CO₂-losun frá áburði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Emissions'!$F$330:$F$333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4AD-46C4-AF39-E654651162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279802416371925"/>
          <c:y val="0.479198880356614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20436119397755"/>
          <c:y val="0.10661808042666963"/>
          <c:w val="0.45900478705856451"/>
          <c:h val="0.8139123849753190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4-4A6B-9444-B0BF46D32D9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4-4A6B-9444-B0BF46D32D9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4-4A6B-9444-B0BF46D32D9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4-4A6B-9444-B0BF46D32D9C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74-4A6B-9444-B0BF46D32D9C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74-4A6B-9444-B0BF46D32D9C}"/>
              </c:ext>
            </c:extLst>
          </c:dPt>
          <c:dLbls>
            <c:dLbl>
              <c:idx val="0"/>
              <c:layout>
                <c:manualLayout>
                  <c:x val="0.19351201675248475"/>
                  <c:y val="0.14111894249663334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74-4A6B-9444-B0BF46D32D9C}"/>
                </c:ext>
              </c:extLst>
            </c:dLbl>
            <c:dLbl>
              <c:idx val="1"/>
              <c:layout>
                <c:manualLayout>
                  <c:x val="-0.211133652888495"/>
                  <c:y val="0.13524436122873618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74-4A6B-9444-B0BF46D32D9C}"/>
                </c:ext>
              </c:extLst>
            </c:dLbl>
            <c:dLbl>
              <c:idx val="2"/>
              <c:layout>
                <c:manualLayout>
                  <c:x val="-0.200091022811756"/>
                  <c:y val="-0.1905402758188371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674-4A6B-9444-B0BF46D32D9C}"/>
                </c:ext>
              </c:extLst>
            </c:dLbl>
            <c:dLbl>
              <c:idx val="3"/>
              <c:layout>
                <c:manualLayout>
                  <c:x val="0.31912678953110751"/>
                  <c:y val="-0.1445028421097729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674-4A6B-9444-B0BF46D32D9C}"/>
                </c:ext>
              </c:extLst>
            </c:dLbl>
            <c:dLbl>
              <c:idx val="4"/>
              <c:layout>
                <c:manualLayout>
                  <c:x val="0.24482799422324508"/>
                  <c:y val="-6.0255853565055889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4358334509"/>
                      <c:h val="0.17768263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674-4A6B-9444-B0BF46D32D9C}"/>
                </c:ext>
              </c:extLst>
            </c:dLbl>
            <c:dLbl>
              <c:idx val="5"/>
              <c:layout>
                <c:manualLayout>
                  <c:x val="0.24397294777751907"/>
                  <c:y val="7.645200024547861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674-4A6B-9444-B0BF46D32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Emissions'!$D$399:$D$404</c:f>
              <c:strCache>
                <c:ptCount val="6"/>
                <c:pt idx="0">
                  <c:v>Áburðarnotkun í landbúnaði</c:v>
                </c:pt>
                <c:pt idx="1">
                  <c:v>Nautgripir</c:v>
                </c:pt>
                <c:pt idx="2">
                  <c:v>Sauðfé</c:v>
                </c:pt>
                <c:pt idx="3">
                  <c:v>Hestar</c:v>
                </c:pt>
                <c:pt idx="4">
                  <c:v>Framræst land (N₂O)</c:v>
                </c:pt>
                <c:pt idx="5">
                  <c:v>Önnur losun</c:v>
                </c:pt>
              </c:strCache>
            </c:strRef>
          </c:cat>
          <c:val>
            <c:numRef>
              <c:f>'Losun | Emissions'!$E$399:$E$404</c:f>
              <c:numCache>
                <c:formatCode>0</c:formatCode>
                <c:ptCount val="6"/>
                <c:pt idx="0">
                  <c:v>126.50383382562947</c:v>
                </c:pt>
                <c:pt idx="1">
                  <c:v>178.97421547805752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198.71402688906983</c:v>
                </c:pt>
                <c:pt idx="5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74-4A6B-9444-B0BF46D3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4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C674-4A6B-9444-B0BF46D32D9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C674-4A6B-9444-B0BF46D32D9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674-4A6B-9444-B0BF46D32D9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674-4A6B-9444-B0BF46D32D9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C674-4A6B-9444-B0BF46D32D9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C674-4A6B-9444-B0BF46D32D9C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Emissions'!$D$399:$D$404</c15:sqref>
                        </c15:formulaRef>
                      </c:ext>
                    </c:extLst>
                    <c:strCache>
                      <c:ptCount val="6"/>
                      <c:pt idx="0">
                        <c:v>Áburðarnotkun í landbúnaði</c:v>
                      </c:pt>
                      <c:pt idx="1">
                        <c:v>Nautgripir</c:v>
                      </c:pt>
                      <c:pt idx="2">
                        <c:v>Sauðfé</c:v>
                      </c:pt>
                      <c:pt idx="3">
                        <c:v>Hestar</c:v>
                      </c:pt>
                      <c:pt idx="4">
                        <c:v>Framræst land (N₂O)</c:v>
                      </c:pt>
                      <c:pt idx="5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Emissions'!$F$399:$F$404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C674-4A6B-9444-B0BF46D32D9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Data'!$E$74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8AC-9C9D-77E5A87B9D0B}"/>
            </c:ext>
          </c:extLst>
        </c:ser>
        <c:ser>
          <c:idx val="6"/>
          <c:order val="1"/>
          <c:tx>
            <c:strRef>
              <c:f>'Talnagögn | Numerical Data'!$E$78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8AC-9C9D-77E5A87B9D0B}"/>
            </c:ext>
          </c:extLst>
        </c:ser>
        <c:ser>
          <c:idx val="0"/>
          <c:order val="2"/>
          <c:tx>
            <c:strRef>
              <c:f>'Talnagögn | Numerical Data'!$E$73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9-48AC-9C9D-77E5A87B9D0B}"/>
            </c:ext>
          </c:extLst>
        </c:ser>
        <c:ser>
          <c:idx val="10"/>
          <c:order val="3"/>
          <c:tx>
            <c:strRef>
              <c:f>'Talnagögn | Numerical Data'!$E$82</c:f>
              <c:strCache>
                <c:ptCount val="1"/>
                <c:pt idx="0">
                  <c:v>Horses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9-48AC-9C9D-77E5A87B9D0B}"/>
            </c:ext>
          </c:extLst>
        </c:ser>
        <c:ser>
          <c:idx val="14"/>
          <c:order val="4"/>
          <c:tx>
            <c:strRef>
              <c:f>'Talnagögn | Numerical Data'!$E$86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9-48AC-9C9D-77E5A87B9D0B}"/>
            </c:ext>
          </c:extLst>
        </c:ser>
        <c:ser>
          <c:idx val="1"/>
          <c:order val="5"/>
          <c:tx>
            <c:strRef>
              <c:f>'Talnagögn | Numerical Data'!$E$87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D9-48AC-9C9D-77E5A87B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Data'!$E$112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3FA-AD92-A93177AE13D2}"/>
            </c:ext>
          </c:extLst>
        </c:ser>
        <c:ser>
          <c:idx val="1"/>
          <c:order val="1"/>
          <c:tx>
            <c:strRef>
              <c:f>'Talnagögn | Numerical Data'!$E$113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856289062500001"/>
          <c:y val="0.93910740740740728"/>
          <c:w val="0.7428549479166666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9-410C-9E32-EA6FD0B58BC1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9-410C-9E32-EA6FD0B58BC1}"/>
            </c:ext>
          </c:extLst>
        </c:ser>
        <c:ser>
          <c:idx val="6"/>
          <c:order val="2"/>
          <c:tx>
            <c:strRef>
              <c:f>'Talnagögn | Numerical Data'!$D$40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9-410C-9E32-EA6FD0B58BC1}"/>
            </c:ext>
          </c:extLst>
        </c:ser>
        <c:ser>
          <c:idx val="4"/>
          <c:order val="3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9-410C-9E32-EA6FD0B58BC1}"/>
            </c:ext>
          </c:extLst>
        </c:ser>
        <c:ser>
          <c:idx val="5"/>
          <c:order val="4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9-410C-9E32-EA6FD0B58BC1}"/>
            </c:ext>
          </c:extLst>
        </c:ser>
        <c:ser>
          <c:idx val="2"/>
          <c:order val="5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9-410C-9E32-EA6FD0B58BC1}"/>
            </c:ext>
          </c:extLst>
        </c:ser>
        <c:ser>
          <c:idx val="3"/>
          <c:order val="6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9-410C-9E32-EA6FD0B58BC1}"/>
            </c:ext>
          </c:extLst>
        </c:ser>
        <c:ser>
          <c:idx val="7"/>
          <c:order val="7"/>
          <c:tx>
            <c:strRef>
              <c:f>'Talnagögn | Numerical Data'!$D$41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39-410C-9E32-EA6FD0B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Data'!$D$47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3-44E1-8BC5-2972DACE64CA}"/>
            </c:ext>
          </c:extLst>
        </c:ser>
        <c:ser>
          <c:idx val="3"/>
          <c:order val="1"/>
          <c:tx>
            <c:strRef>
              <c:f>'Talnagögn | Numerical Data'!$D$48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3-44E1-8BC5-2972DACE64CA}"/>
            </c:ext>
          </c:extLst>
        </c:ser>
        <c:ser>
          <c:idx val="5"/>
          <c:order val="2"/>
          <c:tx>
            <c:strRef>
              <c:f>'Talnagögn | Numerical Data'!$D$49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3-44E1-8BC5-2972DACE64CA}"/>
            </c:ext>
          </c:extLst>
        </c:ser>
        <c:ser>
          <c:idx val="6"/>
          <c:order val="3"/>
          <c:tx>
            <c:strRef>
              <c:f>'Talnagögn | Numerical Data'!$D$55</c:f>
              <c:strCache>
                <c:ptCount val="1"/>
                <c:pt idx="0">
                  <c:v>   Efnanotkun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F3-44E1-8BC5-2972DACE64CA}"/>
            </c:ext>
          </c:extLst>
        </c:ser>
        <c:ser>
          <c:idx val="0"/>
          <c:order val="4"/>
          <c:tx>
            <c:strRef>
              <c:f>'Talnagögn | Numerical Data'!$D$51</c:f>
              <c:strCache>
                <c:ptCount val="1"/>
                <c:pt idx="0">
                  <c:v>   Steinefnaiðnaður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3-44E1-8BC5-2972DACE64CA}"/>
            </c:ext>
          </c:extLst>
        </c:ser>
        <c:ser>
          <c:idx val="1"/>
          <c:order val="5"/>
          <c:tx>
            <c:strRef>
              <c:f>'Talnagögn | Numerical Data'!$D$52</c:f>
              <c:strCache>
                <c:ptCount val="1"/>
                <c:pt idx="0">
                  <c:v>   Efnaiðnaður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3-44E1-8BC5-2972DACE64CA}"/>
            </c:ext>
          </c:extLst>
        </c:ser>
        <c:ser>
          <c:idx val="4"/>
          <c:order val="6"/>
          <c:tx>
            <c:strRef>
              <c:f>'Talnagögn | Numerical Data'!$D$54</c:f>
              <c:strCache>
                <c:ptCount val="1"/>
                <c:pt idx="0">
                  <c:v>   Smurefni og leysiefni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3-44E1-8BC5-2972DACE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'Talnagögn | Numerical Data'!$D$86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93-4BE6-A47C-38BD5A7C9A72}"/>
            </c:ext>
          </c:extLst>
        </c:ser>
        <c:ser>
          <c:idx val="2"/>
          <c:order val="1"/>
          <c:tx>
            <c:strRef>
              <c:f>'Talnagögn | Numerical Data'!$D$74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3-4BE6-A47C-38BD5A7C9A72}"/>
            </c:ext>
          </c:extLst>
        </c:ser>
        <c:ser>
          <c:idx val="6"/>
          <c:order val="2"/>
          <c:tx>
            <c:strRef>
              <c:f>'Talnagögn | Numerical Data'!$D$78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3-4BE6-A47C-38BD5A7C9A72}"/>
            </c:ext>
          </c:extLst>
        </c:ser>
        <c:ser>
          <c:idx val="0"/>
          <c:order val="3"/>
          <c:tx>
            <c:strRef>
              <c:f>'Talnagögn | Numerical Data'!$D$73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3-4BE6-A47C-38BD5A7C9A72}"/>
            </c:ext>
          </c:extLst>
        </c:ser>
        <c:ser>
          <c:idx val="10"/>
          <c:order val="4"/>
          <c:tx>
            <c:strRef>
              <c:f>'Talnagögn | Numerical Data'!$D$82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93-4BE6-A47C-38BD5A7C9A72}"/>
            </c:ext>
          </c:extLst>
        </c:ser>
        <c:ser>
          <c:idx val="1"/>
          <c:order val="5"/>
          <c:tx>
            <c:strRef>
              <c:f>'Talnagögn | Numerical Data'!$D$87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93-4BE6-A47C-38BD5A7C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Data'!$D$103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B-4CBE-846E-98835C2A8032}"/>
            </c:ext>
          </c:extLst>
        </c:ser>
        <c:ser>
          <c:idx val="3"/>
          <c:order val="1"/>
          <c:tx>
            <c:strRef>
              <c:f>'Talnagögn | Numerical Data'!$D$106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B-4CBE-846E-98835C2A8032}"/>
            </c:ext>
          </c:extLst>
        </c:ser>
        <c:ser>
          <c:idx val="2"/>
          <c:order val="2"/>
          <c:tx>
            <c:strRef>
              <c:f>'Talnagögn | Numerical Data'!$D$105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B-4CBE-846E-98835C2A8032}"/>
            </c:ext>
          </c:extLst>
        </c:ser>
        <c:ser>
          <c:idx val="1"/>
          <c:order val="3"/>
          <c:tx>
            <c:strRef>
              <c:f>'Talnagögn | Numerical Data'!$D$104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B-4CBE-846E-98835C2A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4-4A18-B98D-EA3BEC2DE576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4-4A18-B98D-EA3BEC2DE576}"/>
            </c:ext>
          </c:extLst>
        </c:ser>
        <c:ser>
          <c:idx val="0"/>
          <c:order val="2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4-4A18-B98D-EA3BEC2DE576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4-4A18-B98D-EA3BEC2DE576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4-4A18-B98D-EA3BEC2D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B-4D84-8BA9-A32A3A129A35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B-4D84-8BA9-A32A3A129A35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B-4D84-8BA9-A32A3A129A35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B-4D84-8BA9-A32A3A12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Data'!$D$95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C-4E6B-910F-4D352D47A1B3}"/>
            </c:ext>
          </c:extLst>
        </c:ser>
        <c:ser>
          <c:idx val="1"/>
          <c:order val="1"/>
          <c:tx>
            <c:strRef>
              <c:f>'Talnagögn | Numerical Data'!$D$94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C-4E6B-910F-4D352D47A1B3}"/>
            </c:ext>
          </c:extLst>
        </c:ser>
        <c:ser>
          <c:idx val="3"/>
          <c:order val="2"/>
          <c:tx>
            <c:strRef>
              <c:f>'Talnagögn | Numerical Data'!$D$96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C-4E6B-910F-4D352D47A1B3}"/>
            </c:ext>
          </c:extLst>
        </c:ser>
        <c:ser>
          <c:idx val="5"/>
          <c:order val="3"/>
          <c:tx>
            <c:strRef>
              <c:f>'Talnagögn | Numerical Data'!$D$97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C-4E6B-910F-4D352D47A1B3}"/>
            </c:ext>
          </c:extLst>
        </c:ser>
        <c:ser>
          <c:idx val="0"/>
          <c:order val="4"/>
          <c:tx>
            <c:strRef>
              <c:f>'Talnagögn | Numerical Data'!$D$93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C-4E6B-910F-4D352D47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Data'!$E$93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EF1-9D1C-BFBF1E65E4E7}"/>
            </c:ext>
          </c:extLst>
        </c:ser>
        <c:ser>
          <c:idx val="2"/>
          <c:order val="1"/>
          <c:tx>
            <c:strRef>
              <c:f>'Talnagögn | Numerical Data'!$E$95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F-4EF1-9D1C-BFBF1E65E4E7}"/>
            </c:ext>
          </c:extLst>
        </c:ser>
        <c:ser>
          <c:idx val="1"/>
          <c:order val="2"/>
          <c:tx>
            <c:strRef>
              <c:f>'Talnagögn | Numerical Data'!$E$94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EF1-9D1C-BFBF1E65E4E7}"/>
            </c:ext>
          </c:extLst>
        </c:ser>
        <c:ser>
          <c:idx val="3"/>
          <c:order val="3"/>
          <c:tx>
            <c:strRef>
              <c:f>'Talnagögn | Numerical Data'!$E$96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F-4EF1-9D1C-BFBF1E65E4E7}"/>
            </c:ext>
          </c:extLst>
        </c:ser>
        <c:ser>
          <c:idx val="5"/>
          <c:order val="4"/>
          <c:tx>
            <c:strRef>
              <c:f>'Talnagögn | Numerical Data'!$E$97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F-4EF1-9D1C-BFBF1E65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Data'!$E$95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8-4050-9301-19542B314263}"/>
            </c:ext>
          </c:extLst>
        </c:ser>
        <c:ser>
          <c:idx val="1"/>
          <c:order val="1"/>
          <c:tx>
            <c:strRef>
              <c:f>'Talnagögn | Numerical Data'!$E$94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8-4050-9301-19542B314263}"/>
            </c:ext>
          </c:extLst>
        </c:ser>
        <c:ser>
          <c:idx val="3"/>
          <c:order val="2"/>
          <c:tx>
            <c:strRef>
              <c:f>'Talnagögn | Numerical Data'!$E$96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08-4050-9301-19542B314263}"/>
            </c:ext>
          </c:extLst>
        </c:ser>
        <c:ser>
          <c:idx val="5"/>
          <c:order val="3"/>
          <c:tx>
            <c:strRef>
              <c:f>'Talnagögn | Numerical Data'!$E$97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08-4050-9301-19542B314263}"/>
            </c:ext>
          </c:extLst>
        </c:ser>
        <c:ser>
          <c:idx val="0"/>
          <c:order val="4"/>
          <c:tx>
            <c:strRef>
              <c:f>'Talnagögn | Numerical Data'!$E$93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8-4050-9301-19542B31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LULUCF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02-47EF-BD57-24EFE3146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02-47EF-BD57-24EFE31461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02-47EF-BD57-24EFE3146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02-47EF-BD57-24EFE31461B2}"/>
              </c:ext>
            </c:extLst>
          </c:dPt>
          <c:cat>
            <c:strRef>
              <c:f>'Losun | Emissions'!$AF$469:$AF$473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Emissions'!$E$469:$E$473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02-47EF-BD57-24EFE314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Emissions'!$AF$469:$AF$473</c15:sqref>
                        </c15:formulaRef>
                      </c:ext>
                    </c:extLst>
                    <c:strCache>
                      <c:ptCount val="5"/>
                      <c:pt idx="0">
                        <c:v>Forest Land</c:v>
                      </c:pt>
                      <c:pt idx="1">
                        <c:v>Cropland</c:v>
                      </c:pt>
                      <c:pt idx="2">
                        <c:v>Grassland</c:v>
                      </c:pt>
                      <c:pt idx="3">
                        <c:v>Wetlands</c:v>
                      </c:pt>
                      <c:pt idx="4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Emissions'!$F$469:$F$473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602-47EF-BD57-24EFE31461B2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Data'!$E$74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9-4D21-AD11-636335D33DBE}"/>
            </c:ext>
          </c:extLst>
        </c:ser>
        <c:ser>
          <c:idx val="6"/>
          <c:order val="1"/>
          <c:tx>
            <c:strRef>
              <c:f>'Talnagögn | Numerical Data'!$E$78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9-4D21-AD11-636335D33DBE}"/>
            </c:ext>
          </c:extLst>
        </c:ser>
        <c:ser>
          <c:idx val="0"/>
          <c:order val="2"/>
          <c:tx>
            <c:strRef>
              <c:f>'Talnagögn | Numerical Data'!$E$73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D21-AD11-636335D33DBE}"/>
            </c:ext>
          </c:extLst>
        </c:ser>
        <c:ser>
          <c:idx val="14"/>
          <c:order val="3"/>
          <c:tx>
            <c:strRef>
              <c:f>'Talnagögn | Numerical Data'!$E$86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9-4D21-AD11-636335D33DBE}"/>
            </c:ext>
          </c:extLst>
        </c:ser>
        <c:ser>
          <c:idx val="10"/>
          <c:order val="4"/>
          <c:tx>
            <c:strRef>
              <c:f>'Talnagögn | Numerical Data'!$E$82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9-4D21-AD11-636335D33DBE}"/>
            </c:ext>
          </c:extLst>
        </c:ser>
        <c:ser>
          <c:idx val="1"/>
          <c:order val="5"/>
          <c:tx>
            <c:strRef>
              <c:f>'Talnagögn | Numerical Data'!$E$87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9-4D21-AD11-636335D3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Data'!$E$61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1-4979-9A2F-EC2AF5320F44}"/>
            </c:ext>
          </c:extLst>
        </c:ser>
        <c:ser>
          <c:idx val="2"/>
          <c:order val="1"/>
          <c:tx>
            <c:strRef>
              <c:f>'Talnagögn | Numerical Data'!$E$63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1-4979-9A2F-EC2AF5320F44}"/>
            </c:ext>
          </c:extLst>
        </c:ser>
        <c:ser>
          <c:idx val="1"/>
          <c:order val="2"/>
          <c:tx>
            <c:strRef>
              <c:f>'Talnagögn | Numerical Data'!$E$62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1-4979-9A2F-EC2AF5320F44}"/>
            </c:ext>
          </c:extLst>
        </c:ser>
        <c:ser>
          <c:idx val="3"/>
          <c:order val="3"/>
          <c:tx>
            <c:strRef>
              <c:f>'Talnagögn | Numerical Data'!$E$64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31-4979-9A2F-EC2AF532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Algn val="ctr"/>
        <c:lblOffset val="100"/>
        <c:tickLblSkip val="1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Data'!$E$48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C-45DE-B288-5783CE772030}"/>
            </c:ext>
          </c:extLst>
        </c:ser>
        <c:ser>
          <c:idx val="4"/>
          <c:order val="1"/>
          <c:tx>
            <c:strRef>
              <c:f>'Talnagögn | Numerical Data'!$E$54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C-45DE-B288-5783CE772030}"/>
            </c:ext>
          </c:extLst>
        </c:ser>
        <c:ser>
          <c:idx val="5"/>
          <c:order val="2"/>
          <c:tx>
            <c:strRef>
              <c:f>'Talnagögn | Numerical Data'!$E$49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C-45DE-B288-5783CE772030}"/>
            </c:ext>
          </c:extLst>
        </c:ser>
        <c:ser>
          <c:idx val="6"/>
          <c:order val="3"/>
          <c:tx>
            <c:strRef>
              <c:f>'Talnagögn | Numerical Data'!$E$55</c:f>
              <c:strCache>
                <c:ptCount val="1"/>
                <c:pt idx="0">
                  <c:v>   Product Use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C-45DE-B288-5783CE772030}"/>
            </c:ext>
          </c:extLst>
        </c:ser>
        <c:ser>
          <c:idx val="0"/>
          <c:order val="4"/>
          <c:tx>
            <c:strRef>
              <c:f>'Talnagögn | Numerical Data'!$E$51</c:f>
              <c:strCache>
                <c:ptCount val="1"/>
                <c:pt idx="0">
                  <c:v>   Mineral Products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C-45DE-B288-5783CE772030}"/>
            </c:ext>
          </c:extLst>
        </c:ser>
        <c:ser>
          <c:idx val="2"/>
          <c:order val="5"/>
          <c:tx>
            <c:strRef>
              <c:f>'Talnagögn | Numerical Data'!$E$47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C-45DE-B288-5783CE772030}"/>
            </c:ext>
          </c:extLst>
        </c:ser>
        <c:ser>
          <c:idx val="1"/>
          <c:order val="6"/>
          <c:tx>
            <c:strRef>
              <c:f>'Talnagögn | Numerical Data'!$E$52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1C-45DE-B288-5783CE77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layout>
        <c:manualLayout>
          <c:xMode val="edge"/>
          <c:yMode val="edge"/>
          <c:x val="0.435935953534406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Data'!$E$47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E-4960-A9AF-8B32A0C7CDA4}"/>
            </c:ext>
          </c:extLst>
        </c:ser>
        <c:ser>
          <c:idx val="3"/>
          <c:order val="1"/>
          <c:tx>
            <c:strRef>
              <c:f>'Talnagögn | Numerical Data'!$E$48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E-4960-A9AF-8B32A0C7CDA4}"/>
            </c:ext>
          </c:extLst>
        </c:ser>
        <c:ser>
          <c:idx val="5"/>
          <c:order val="2"/>
          <c:tx>
            <c:strRef>
              <c:f>'Talnagögn | Numerical Data'!$E$49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E-4960-A9AF-8B32A0C7CDA4}"/>
            </c:ext>
          </c:extLst>
        </c:ser>
        <c:ser>
          <c:idx val="0"/>
          <c:order val="3"/>
          <c:tx>
            <c:strRef>
              <c:f>'Talnagögn | Numerical Data'!$E$51</c:f>
              <c:strCache>
                <c:ptCount val="1"/>
                <c:pt idx="0">
                  <c:v>   Mineral Products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E-4960-A9AF-8B32A0C7CDA4}"/>
            </c:ext>
          </c:extLst>
        </c:ser>
        <c:ser>
          <c:idx val="1"/>
          <c:order val="4"/>
          <c:tx>
            <c:strRef>
              <c:f>'Talnagögn | Numerical Data'!$E$52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E-4960-A9AF-8B32A0C7CDA4}"/>
            </c:ext>
          </c:extLst>
        </c:ser>
        <c:ser>
          <c:idx val="4"/>
          <c:order val="5"/>
          <c:tx>
            <c:strRef>
              <c:f>'Talnagögn | Numerical Data'!$E$54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9E-4960-A9AF-8B32A0C7CDA4}"/>
            </c:ext>
          </c:extLst>
        </c:ser>
        <c:ser>
          <c:idx val="6"/>
          <c:order val="6"/>
          <c:tx>
            <c:strRef>
              <c:f>'Talnagögn | Numerical Data'!$E$55</c:f>
              <c:strCache>
                <c:ptCount val="1"/>
                <c:pt idx="0">
                  <c:v>   Product Use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9E-4960-A9AF-8B32A0C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B-45DA-A872-2B89A9E54EB3}"/>
            </c:ext>
          </c:extLst>
        </c:ser>
        <c:ser>
          <c:idx val="0"/>
          <c:order val="1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B-45DA-A872-2B89A9E54EB3}"/>
            </c:ext>
          </c:extLst>
        </c:ser>
        <c:ser>
          <c:idx val="6"/>
          <c:order val="2"/>
          <c:tx>
            <c:strRef>
              <c:f>'Talnagögn | Numerical Data'!$E$40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AB-45DA-A872-2B89A9E54EB3}"/>
            </c:ext>
          </c:extLst>
        </c:ser>
        <c:ser>
          <c:idx val="4"/>
          <c:order val="3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AB-45DA-A872-2B89A9E54EB3}"/>
            </c:ext>
          </c:extLst>
        </c:ser>
        <c:ser>
          <c:idx val="5"/>
          <c:order val="4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AB-45DA-A872-2B89A9E54EB3}"/>
            </c:ext>
          </c:extLst>
        </c:ser>
        <c:ser>
          <c:idx val="2"/>
          <c:order val="5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B-45DA-A872-2B89A9E54EB3}"/>
            </c:ext>
          </c:extLst>
        </c:ser>
        <c:ser>
          <c:idx val="3"/>
          <c:order val="6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B-45DA-A872-2B89A9E54EB3}"/>
            </c:ext>
          </c:extLst>
        </c:ser>
        <c:ser>
          <c:idx val="7"/>
          <c:order val="7"/>
          <c:tx>
            <c:strRef>
              <c:f>'Talnagögn | Numerical Data'!$E$41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AB-45DA-A872-2B89A9E5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Data'!$D$112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A-4447-BE48-5227289D82DA}"/>
            </c:ext>
          </c:extLst>
        </c:ser>
        <c:ser>
          <c:idx val="1"/>
          <c:order val="1"/>
          <c:tx>
            <c:strRef>
              <c:f>'Talnagögn | Numerical Data'!$D$113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A-4447-BE48-5227289D8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Landnotkun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B-4F0C-BE33-22C60A2324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B-4F0C-BE33-22C60A23245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B-4F0C-BE33-22C60A23245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B-4F0C-BE33-22C60A232451}"/>
              </c:ext>
            </c:extLst>
          </c:dPt>
          <c:cat>
            <c:strRef>
              <c:f>'Losun | Emissions'!$D$469:$D$473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Emissions'!$E$469:$E$473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0B-4F0C-BE33-22C60A23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Data'!$D$62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9-4599-B7D4-7A60CD9C1E62}"/>
            </c:ext>
          </c:extLst>
        </c:ser>
        <c:ser>
          <c:idx val="0"/>
          <c:order val="1"/>
          <c:tx>
            <c:strRef>
              <c:f>'Talnagögn | Numerical Data'!$D$61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9-4599-B7D4-7A60CD9C1E62}"/>
            </c:ext>
          </c:extLst>
        </c:ser>
        <c:ser>
          <c:idx val="2"/>
          <c:order val="2"/>
          <c:tx>
            <c:strRef>
              <c:f>'Talnagögn | Numerical Data'!$D$63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9-4599-B7D4-7A60CD9C1E62}"/>
            </c:ext>
          </c:extLst>
        </c:ser>
        <c:ser>
          <c:idx val="3"/>
          <c:order val="3"/>
          <c:tx>
            <c:strRef>
              <c:f>'Talnagögn | Numerical Data'!$D$64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9-4599-B7D4-7A60CD9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Data'!$D$61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2-4E6A-976F-569BDB73B226}"/>
            </c:ext>
          </c:extLst>
        </c:ser>
        <c:ser>
          <c:idx val="2"/>
          <c:order val="1"/>
          <c:tx>
            <c:strRef>
              <c:f>'Talnagögn | Numerical Data'!$D$63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2-4E6A-976F-569BDB73B226}"/>
            </c:ext>
          </c:extLst>
        </c:ser>
        <c:ser>
          <c:idx val="1"/>
          <c:order val="2"/>
          <c:tx>
            <c:strRef>
              <c:f>'Talnagögn | Numerical Data'!$D$62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2-4E6A-976F-569BDB73B226}"/>
            </c:ext>
          </c:extLst>
        </c:ser>
        <c:ser>
          <c:idx val="3"/>
          <c:order val="3"/>
          <c:tx>
            <c:strRef>
              <c:f>'Talnagögn | Numerical Data'!$D$64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62-4E6A-976F-569BDB73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</c:rich>
      </c:tx>
      <c:layout>
        <c:manualLayout>
          <c:xMode val="edge"/>
          <c:yMode val="edge"/>
          <c:x val="0.40966822916666668"/>
          <c:y val="0.414513888888888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8.8958333333333334E-2"/>
          <c:w val="0.44919270833333336"/>
          <c:h val="0.798564814814814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83-4599-9E77-48AB732B3D75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83-4599-9E77-48AB732B3D75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83-4599-9E77-48AB732B3D75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83-4599-9E77-48AB732B3D75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83-4599-9E77-48AB732B3D75}"/>
              </c:ext>
            </c:extLst>
          </c:dPt>
          <c:dLbls>
            <c:dLbl>
              <c:idx val="0"/>
              <c:layout>
                <c:manualLayout>
                  <c:x val="0.15709635416666667"/>
                  <c:y val="-7.34953703703703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883-4599-9E77-48AB732B3D75}"/>
                </c:ext>
              </c:extLst>
            </c:dLbl>
            <c:dLbl>
              <c:idx val="1"/>
              <c:layout>
                <c:manualLayout>
                  <c:x val="0.20257167968750001"/>
                  <c:y val="5.2916550925925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5559895833331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883-4599-9E77-48AB732B3D75}"/>
                </c:ext>
              </c:extLst>
            </c:dLbl>
            <c:dLbl>
              <c:idx val="2"/>
              <c:layout>
                <c:manualLayout>
                  <c:x val="0.15213541666666666"/>
                  <c:y val="0.17638888888888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2E00BAF-AB3A-4F16-8E68-4E7F192C1EFC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883-4599-9E77-48AB732B3D75}"/>
                </c:ext>
              </c:extLst>
            </c:dLbl>
            <c:dLbl>
              <c:idx val="3"/>
              <c:layout>
                <c:manualLayout>
                  <c:x val="-0.21164050199736628"/>
                  <c:y val="5.9634480364642584E-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73AA4A-14F5-4239-917B-5B8522F8EC2F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sz="1000" b="0" baseline="0"/>
                      <a:t>
</a:t>
                    </a:r>
                    <a:fld id="{0DDC3863-1640-4B7A-8184-2D85750B9EBB}" type="VALUE">
                      <a:rPr lang="en-US" sz="1100" b="0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</a:t>
                    </a:r>
                    <a:r>
                      <a:rPr lang="en-US" sz="1100" b="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5954A7E-3BD6-448F-AF25-CA787F87A480}" type="PERCENTAGE">
                      <a:rPr lang="en-US" sz="1100" b="0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[PERCENTAGE]</a:t>
                    </a:fld>
                    <a:endParaRPr lang="en-US" sz="1100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31339704693406"/>
                      <c:h val="0.30500796738507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883-4599-9E77-48AB732B3D75}"/>
                </c:ext>
              </c:extLst>
            </c:dLbl>
            <c:dLbl>
              <c:idx val="4"/>
              <c:layout>
                <c:manualLayout>
                  <c:x val="0.13559895833333321"/>
                  <c:y val="-0.179328703703703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883-4599-9E77-48AB732B3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| Emissions'!$AF$7:$AF$11</c:f>
              <c:strCache>
                <c:ptCount val="5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Land use, Land-Use Change and Forestry (LULUCF)</c:v>
                </c:pt>
                <c:pt idx="4">
                  <c:v>Waste</c:v>
                </c:pt>
              </c:strCache>
            </c:strRef>
          </c:cat>
          <c:val>
            <c:numRef>
              <c:f>'Losun | Emissions'!$AG$7:$AG$11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8042.6370814570228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83-4599-9E77-48AB732B3D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rgbClr val="323232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endParaRPr lang="is-IS"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41275611979166665"/>
          <c:y val="0.390967592592592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rgbClr val="323232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86718749999998"/>
          <c:y val="0.1065972222222222"/>
          <c:w val="0.44423177083333337"/>
          <c:h val="0.78974537037037051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C-46CA-9CD9-39C54BFA23FC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C-46CA-9CD9-39C54BFA23FC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7C-46CA-9CD9-39C54BFA23FC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7C-46CA-9CD9-39C54BFA23FC}"/>
              </c:ext>
            </c:extLst>
          </c:dPt>
          <c:dLbls>
            <c:dLbl>
              <c:idx val="0"/>
              <c:layout>
                <c:manualLayout>
                  <c:x val="-0.25145913886619053"/>
                  <c:y val="7.01855003309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7C-46CA-9CD9-39C54BFA23FC}"/>
                </c:ext>
              </c:extLst>
            </c:dLbl>
            <c:dLbl>
              <c:idx val="1"/>
              <c:layout>
                <c:manualLayout>
                  <c:x val="-0.22406894531249999"/>
                  <c:y val="-8.81945601851851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63580729166664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7C-46CA-9CD9-39C54BFA23FC}"/>
                </c:ext>
              </c:extLst>
            </c:dLbl>
            <c:dLbl>
              <c:idx val="2"/>
              <c:layout>
                <c:manualLayout>
                  <c:x val="0.15378906249999999"/>
                  <c:y val="-0.108773148148148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FBE080D-CBDE-4436-BDFB-1B858539432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7C-46CA-9CD9-39C54BFA23FC}"/>
                </c:ext>
              </c:extLst>
            </c:dLbl>
            <c:dLbl>
              <c:idx val="3"/>
              <c:layout>
                <c:manualLayout>
                  <c:x val="0.15048177083333322"/>
                  <c:y val="5.2916666666666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7C-46CA-9CD9-39C54BFA23F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'Losun | Emissions'!$AF$7:$AF$11</c15:sqref>
                  </c15:fullRef>
                </c:ext>
              </c:extLst>
              <c:f>('Losun | Emissions'!$AF$7:$AF$9,'Losun | Emissions'!$AF$11)</c:f>
              <c:strCache>
                <c:ptCount val="4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'Losun | Emissions'!$AG$7:$AG$11</c15:sqref>
                  </c15:fullRef>
                </c:ext>
              </c:extLst>
              <c:f>('Losun | Emissions'!$AG$7:$AG$9,'Losun | Emissions'!$AG$11)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'Losun | Emissions'!$AG$10</c15:sqref>
                  <c15:spPr xmlns:c15="http://schemas.microsoft.com/office/drawing/2012/chart">
                    <a:solidFill>
                      <a:srgbClr val="68A2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-0.21164049479166666"/>
                        <c:y val="-4.4097222222222288E-2"/>
                      </c:manualLayout>
                    </c:layout>
                    <c:tx>
                      <c:rich>
                        <a:bodyPr/>
                        <a:lstStyle/>
                        <a:p>
                          <a:fld id="{7B8F2B14-7E78-4196-814C-43A3A94C3A15}" type="CATEGORYNAME">
                            <a:rPr lang="en-US" sz="1200" b="1"/>
                            <a:pPr/>
                            <a:t>[CATEGORY NAME]</a:t>
                          </a:fld>
                          <a:endParaRPr lang="en-US" sz="1200" b="1" baseline="0"/>
                        </a:p>
                        <a:p>
                          <a:fld id="{603BBBA3-8020-4E39-81C2-46BD47D814C0}" type="VALUE">
                            <a:rPr lang="en-US"/>
                            <a:pPr/>
                            <a:t>[VALUE]</a:t>
                          </a:fld>
                          <a:endParaRPr lang="en-US" baseline="0"/>
                        </a:p>
                        <a:p>
                          <a:fld id="{2F48C9B2-460D-4B9A-9BBD-B269C643B993}" type="PERCENTAGE">
                            <a:rPr lang="en-US"/>
                            <a:pPr/>
                            <a:t>[PERCENTAGE]</a:t>
                          </a:fld>
                          <a:endParaRPr lang="en-GB"/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>
                        <c15:layout>
                          <c:manualLayout>
                            <c:w val="0.21631341145833333"/>
                            <c:h val="0.2156208333333333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099E-450B-97A0-C9283504421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317C-46CA-9CD9-39C54BFA23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0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8-4E3E-A646-F5792F8F1324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8-4E3E-A646-F5792F8F1324}"/>
            </c:ext>
          </c:extLst>
        </c:ser>
        <c:ser>
          <c:idx val="1"/>
          <c:order val="2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8-4E3E-A646-F5792F8F1324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8-4E3E-A646-F5792F8F1324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78-4E3E-A646-F5792F8F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Losun gróðurhúsalofttegunda (þús. tonn CO₂-íg.)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1-4DC4-BAC6-C6D2762D5503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1-4DC4-BAC6-C6D2762D5503}"/>
            </c:ext>
          </c:extLst>
        </c:ser>
        <c:ser>
          <c:idx val="0"/>
          <c:order val="2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1-4DC4-BAC6-C6D2762D5503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11-4DC4-BAC6-C6D2762D5503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11-4DC4-BAC6-C6D2762D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5-44BF-BD49-45237EB70B68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5-44BF-BD49-45237EB70B68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5-44BF-BD49-45237EB70B68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5-44BF-BD49-45237EB7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Losun Íslands</a:t>
            </a:r>
          </a:p>
          <a:p>
            <a:pPr>
              <a:defRPr/>
            </a:pPr>
            <a:r>
              <a:rPr lang="is-IS" sz="1600" b="1"/>
              <a:t>2023</a:t>
            </a:r>
          </a:p>
          <a:p>
            <a:pPr>
              <a:defRPr/>
            </a:pPr>
            <a:r>
              <a:rPr lang="is-IS" sz="1200" b="0" baseline="0"/>
              <a:t>án losunar frá</a:t>
            </a:r>
          </a:p>
          <a:p>
            <a:pPr>
              <a:defRPr/>
            </a:pPr>
            <a:r>
              <a:rPr lang="is-IS" sz="1200" b="0" baseline="0"/>
              <a:t>landnotkun</a:t>
            </a:r>
            <a:endParaRPr lang="is-IS" sz="1200" b="0"/>
          </a:p>
        </c:rich>
      </c:tx>
      <c:layout>
        <c:manualLayout>
          <c:xMode val="edge"/>
          <c:yMode val="edge"/>
          <c:x val="0.42039602513675245"/>
          <c:y val="0.391296263147671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9-448D-8D31-9C53FFE0AFEA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9-448D-8D31-9C53FFE0AFEA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9-448D-8D31-9C53FFE0AFEA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69-448D-8D31-9C53FFE0AF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69-448D-8D31-9C53FFE0AFEA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69-448D-8D31-9C53FFE0AFEA}"/>
              </c:ext>
            </c:extLst>
          </c:dPt>
          <c:dPt>
            <c:idx val="6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69-448D-8D31-9C53FFE0AFEA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69-448D-8D31-9C53FFE0AFEA}"/>
              </c:ext>
            </c:extLst>
          </c:dPt>
          <c:dLbls>
            <c:dLbl>
              <c:idx val="0"/>
              <c:layout>
                <c:manualLayout>
                  <c:x val="7.7133216125321327E-2"/>
                  <c:y val="0.1805033350456588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BF2AFE09-1445-400A-AEA0-466E41B1FC30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C5680EF-1B1A-4EAB-9308-CE113ADB135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69-448D-8D31-9C53FFE0AFEA}"/>
                </c:ext>
              </c:extLst>
            </c:dLbl>
            <c:dLbl>
              <c:idx val="1"/>
              <c:layout>
                <c:manualLayout>
                  <c:x val="-0.1767730115428601"/>
                  <c:y val="0.188304326414283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A91B62A-0BA8-4534-A750-808D8357750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852F327-B7F6-406C-96BA-AD96A0AD6B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69-448D-8D31-9C53FFE0AFEA}"/>
                </c:ext>
              </c:extLst>
            </c:dLbl>
            <c:dLbl>
              <c:idx val="2"/>
              <c:layout>
                <c:manualLayout>
                  <c:x val="-0.20344977977248438"/>
                  <c:y val="4.4183888615293626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A58D8B4-24A6-49BE-88F0-174A28FF513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C9060AC0-1EA3-4A4F-B3BA-C296C52374BE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69-448D-8D31-9C53FFE0AFEA}"/>
                </c:ext>
              </c:extLst>
            </c:dLbl>
            <c:dLbl>
              <c:idx val="3"/>
              <c:layout>
                <c:manualLayout>
                  <c:x val="-0.20345240885416666"/>
                  <c:y val="-0.1587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D915031-0400-4551-94FB-79B05FF4224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2AC36B7-6490-404A-B6B3-C86AA75782B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69-448D-8D31-9C53FFE0AFEA}"/>
                </c:ext>
              </c:extLst>
            </c:dLbl>
            <c:dLbl>
              <c:idx val="4"/>
              <c:layout>
                <c:manualLayout>
                  <c:x val="0.20515306460487237"/>
                  <c:y val="-0.1477509887267109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03A610A-DAC1-419D-87E1-0C3AB5FBACAA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444CA717-8CDF-4602-97F9-44AD4C8BAD8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521269455350997"/>
                      <c:h val="0.13858007551229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E69-448D-8D31-9C53FFE0AFEA}"/>
                </c:ext>
              </c:extLst>
            </c:dLbl>
            <c:dLbl>
              <c:idx val="5"/>
              <c:layout>
                <c:manualLayout>
                  <c:x val="0.22158854166666667"/>
                  <c:y val="-8.525462962962961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8EAE2F38-2CBB-45EF-A8B6-ED7928B7F521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73E7152-B510-43CE-96D5-EAFDDBC97C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28124999999"/>
                      <c:h val="0.13095648148148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E69-448D-8D31-9C53FFE0AFEA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404E2A9-75C5-4C5D-9779-EE35DD91C62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A41120A7-69E9-4FE6-B021-7FDF71007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E69-448D-8D31-9C53FFE0AFEA}"/>
                </c:ext>
              </c:extLst>
            </c:dLbl>
            <c:dLbl>
              <c:idx val="7"/>
              <c:layout>
                <c:manualLayout>
                  <c:x val="0.25421082499618308"/>
                  <c:y val="0.2014280508491349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/>
                    </a:pPr>
                    <a:fld id="{EAD98EE4-4514-4DE2-97CA-A23A9814B150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pPr>
                      <a:defRPr/>
                    </a:pPr>
                    <a:fld id="{0E7E8CEF-C8A2-41DF-9753-C977B591FE4C}" type="PERCENTAGE">
                      <a:rPr lang="en-US"/>
                      <a:pPr>
                        <a:defRPr/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E69-448D-8D31-9C53FFE0A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Emissions'!$D$110:$D$117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Emissions'!$E$110:$E$117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693.89491902799296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69-448D-8D31-9C53FFE0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</c:rich>
      </c:tx>
      <c:layout>
        <c:manualLayout>
          <c:xMode val="edge"/>
          <c:yMode val="edge"/>
          <c:x val="0.44307280523045195"/>
          <c:y val="0.3686843256211875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5-4814-8C24-CA5A06F04EFF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A5-4814-8C24-CA5A06F04EFF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A5-4814-8C24-CA5A06F04EFF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A5-4814-8C24-CA5A06F04E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A5-4814-8C24-CA5A06F04EFF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A5-4814-8C24-CA5A06F04EFF}"/>
              </c:ext>
            </c:extLst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A5-4814-8C24-CA5A06F04EFF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accent1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A5-4814-8C24-CA5A06F04EFF}"/>
              </c:ext>
            </c:extLst>
          </c:dPt>
          <c:dLbls>
            <c:dLbl>
              <c:idx val="0"/>
              <c:layout>
                <c:manualLayout>
                  <c:x val="4.6144729186582231E-2"/>
                  <c:y val="0.17768827553528604"/>
                </c:manualLayout>
              </c:layout>
              <c:tx>
                <c:rich>
                  <a:bodyPr/>
                  <a:lstStyle/>
                  <a:p>
                    <a:fld id="{91C32B03-54E0-4FAF-B11C-FB6D1370D47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BBF32D4-36E7-4B1C-8A67-2A0FDFB93CDA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80F189EC-672D-4A95-827B-E524D96A043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A5-4814-8C24-CA5A06F04EFF}"/>
                </c:ext>
              </c:extLst>
            </c:dLbl>
            <c:dLbl>
              <c:idx val="1"/>
              <c:layout>
                <c:manualLayout>
                  <c:x val="-0.15629666337390763"/>
                  <c:y val="0.168803861758521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FF74BA95-A431-41C5-9860-6A3C0C23C340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5D3E952F-F107-45DA-8879-8006B5F44D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DEF919FC-0F5E-457A-9E72-A0308C19FFD4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A5-4814-8C24-CA5A06F04EFF}"/>
                </c:ext>
              </c:extLst>
            </c:dLbl>
            <c:dLbl>
              <c:idx val="2"/>
              <c:layout>
                <c:manualLayout>
                  <c:x val="-0.20117718872760568"/>
                  <c:y val="6.649109261733197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EB265D7F-0DF7-4A3C-9DDE-4585C4DFF594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DE51A4E-F28C-40BF-B92C-2BFA9F42E742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C285055-E66D-4882-8626-BECC07BED1A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A5-4814-8C24-CA5A06F04EFF}"/>
                </c:ext>
              </c:extLst>
            </c:dLbl>
            <c:dLbl>
              <c:idx val="3"/>
              <c:layout>
                <c:manualLayout>
                  <c:x val="-0.20169706413097649"/>
                  <c:y val="-0.19789880116378825"/>
                </c:manualLayout>
              </c:layout>
              <c:tx>
                <c:rich>
                  <a:bodyPr/>
                  <a:lstStyle/>
                  <a:p>
                    <a:fld id="{3843203A-EF54-4D04-993B-6CDD262C09E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2A9F9FA-1DDF-4399-A091-4F9E33917B6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841F0F17-A17F-498F-AF0A-857A3BD4B03F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92067232296104"/>
                      <c:h val="0.17580505963866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8A5-4814-8C24-CA5A06F04EFF}"/>
                </c:ext>
              </c:extLst>
            </c:dLbl>
            <c:dLbl>
              <c:idx val="4"/>
              <c:layout>
                <c:manualLayout>
                  <c:x val="0.17490340901365831"/>
                  <c:y val="-0.1080937009506322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36D43302-7D0D-472A-9425-5EC349BE2605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C6554AD-8171-4DBF-ACE3-9B6B694D7341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3D0BF84-57A0-42DF-9DCB-7F0CC8E828E5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50261772004481"/>
                      <c:h val="0.18926879409123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A5-4814-8C24-CA5A06F04EFF}"/>
                </c:ext>
              </c:extLst>
            </c:dLbl>
            <c:dLbl>
              <c:idx val="5"/>
              <c:layout>
                <c:manualLayout>
                  <c:x val="0.1384341875597466"/>
                  <c:y val="-5.0345011401664322E-2"/>
                </c:manualLayout>
              </c:layout>
              <c:tx>
                <c:rich>
                  <a:bodyPr/>
                  <a:lstStyle/>
                  <a:p>
                    <a:fld id="{820F91F2-1F4F-4497-BD3C-580F93D0284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047B345-28E1-46BA-84EC-010450C1DDE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31C89189-A1FC-4D62-99D5-C00EE8D3D7EA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A5-4814-8C24-CA5A06F04EFF}"/>
                </c:ext>
              </c:extLst>
            </c:dLbl>
            <c:dLbl>
              <c:idx val="6"/>
              <c:layout>
                <c:manualLayout>
                  <c:x val="0.19797577360694957"/>
                  <c:y val="1.7768827553528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ACAFD100-E9EF-4D09-8D8D-1D87C16D0743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846D800E-D88C-423A-83DF-06767992A495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3A805870-D4CE-4501-AD22-0DFA4031D77E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8A5-4814-8C24-CA5A06F04EFF}"/>
                </c:ext>
              </c:extLst>
            </c:dLbl>
            <c:dLbl>
              <c:idx val="7"/>
              <c:layout>
                <c:manualLayout>
                  <c:x val="0.19964658192070697"/>
                  <c:y val="0.1803976541833510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0F4A5612-F388-458D-B9C2-5C3735189892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1C37FC37-ABBF-4BE8-BDF3-0AF394BFF7B6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E22292B-23A6-414D-92B4-6A660820158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8A5-4814-8C24-CA5A06F04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Emissions'!$AF$110:$AF$117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Geothermal Energy</c:v>
                </c:pt>
                <c:pt idx="3">
                  <c:v>Aluminium Production</c:v>
                </c:pt>
                <c:pt idx="4">
                  <c:v>Ferrosilicon and Silicon Metal Production</c:v>
                </c:pt>
                <c:pt idx="5">
                  <c:v>Agriculture</c:v>
                </c:pt>
                <c:pt idx="6">
                  <c:v>Waste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Emissions'!$AG$110:$AG$117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693.89491902799296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A5-4814-8C24-CA5A06F0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9" Type="http://schemas.openxmlformats.org/officeDocument/2006/relationships/chart" Target="../charts/chart71.xml"/><Relationship Id="rId21" Type="http://schemas.openxmlformats.org/officeDocument/2006/relationships/chart" Target="../charts/chart53.xml"/><Relationship Id="rId34" Type="http://schemas.openxmlformats.org/officeDocument/2006/relationships/chart" Target="../charts/chart66.xml"/><Relationship Id="rId42" Type="http://schemas.openxmlformats.org/officeDocument/2006/relationships/chart" Target="../charts/chart74.xml"/><Relationship Id="rId47" Type="http://schemas.openxmlformats.org/officeDocument/2006/relationships/chart" Target="../charts/chart79.xml"/><Relationship Id="rId50" Type="http://schemas.openxmlformats.org/officeDocument/2006/relationships/chart" Target="../charts/chart82.xml"/><Relationship Id="rId55" Type="http://schemas.openxmlformats.org/officeDocument/2006/relationships/chart" Target="../charts/chart87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33" Type="http://schemas.openxmlformats.org/officeDocument/2006/relationships/chart" Target="../charts/chart65.xml"/><Relationship Id="rId38" Type="http://schemas.openxmlformats.org/officeDocument/2006/relationships/chart" Target="../charts/chart70.xml"/><Relationship Id="rId46" Type="http://schemas.openxmlformats.org/officeDocument/2006/relationships/chart" Target="../charts/chart78.xml"/><Relationship Id="rId59" Type="http://schemas.openxmlformats.org/officeDocument/2006/relationships/chart" Target="../charts/chart91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41" Type="http://schemas.openxmlformats.org/officeDocument/2006/relationships/chart" Target="../charts/chart73.xml"/><Relationship Id="rId54" Type="http://schemas.openxmlformats.org/officeDocument/2006/relationships/chart" Target="../charts/chart86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37" Type="http://schemas.openxmlformats.org/officeDocument/2006/relationships/chart" Target="../charts/chart69.xml"/><Relationship Id="rId40" Type="http://schemas.openxmlformats.org/officeDocument/2006/relationships/chart" Target="../charts/chart72.xml"/><Relationship Id="rId45" Type="http://schemas.openxmlformats.org/officeDocument/2006/relationships/chart" Target="../charts/chart77.xml"/><Relationship Id="rId53" Type="http://schemas.openxmlformats.org/officeDocument/2006/relationships/chart" Target="../charts/chart85.xml"/><Relationship Id="rId58" Type="http://schemas.openxmlformats.org/officeDocument/2006/relationships/chart" Target="../charts/chart90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36" Type="http://schemas.openxmlformats.org/officeDocument/2006/relationships/chart" Target="../charts/chart68.xml"/><Relationship Id="rId49" Type="http://schemas.openxmlformats.org/officeDocument/2006/relationships/chart" Target="../charts/chart81.xml"/><Relationship Id="rId57" Type="http://schemas.openxmlformats.org/officeDocument/2006/relationships/chart" Target="../charts/chart89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4" Type="http://schemas.openxmlformats.org/officeDocument/2006/relationships/chart" Target="../charts/chart76.xml"/><Relationship Id="rId52" Type="http://schemas.openxmlformats.org/officeDocument/2006/relationships/chart" Target="../charts/chart84.xml"/><Relationship Id="rId60" Type="http://schemas.openxmlformats.org/officeDocument/2006/relationships/chart" Target="../charts/chart9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Relationship Id="rId35" Type="http://schemas.openxmlformats.org/officeDocument/2006/relationships/chart" Target="../charts/chart67.xml"/><Relationship Id="rId43" Type="http://schemas.openxmlformats.org/officeDocument/2006/relationships/chart" Target="../charts/chart75.xml"/><Relationship Id="rId48" Type="http://schemas.openxmlformats.org/officeDocument/2006/relationships/chart" Target="../charts/chart80.xml"/><Relationship Id="rId56" Type="http://schemas.openxmlformats.org/officeDocument/2006/relationships/chart" Target="../charts/chart88.xml"/><Relationship Id="rId8" Type="http://schemas.openxmlformats.org/officeDocument/2006/relationships/chart" Target="../charts/chart40.xml"/><Relationship Id="rId51" Type="http://schemas.openxmlformats.org/officeDocument/2006/relationships/chart" Target="../charts/chart83.xml"/><Relationship Id="rId3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16</xdr:row>
      <xdr:rowOff>166687</xdr:rowOff>
    </xdr:from>
    <xdr:to>
      <xdr:col>26</xdr:col>
      <xdr:colOff>441687</xdr:colOff>
      <xdr:row>40</xdr:row>
      <xdr:rowOff>168529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7AD175-FBD1-40F8-B9C7-8172C84ECA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47</xdr:row>
      <xdr:rowOff>0</xdr:rowOff>
    </xdr:from>
    <xdr:to>
      <xdr:col>8</xdr:col>
      <xdr:colOff>583989</xdr:colOff>
      <xdr:row>69</xdr:row>
      <xdr:rowOff>136621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452436</xdr:colOff>
      <xdr:row>120</xdr:row>
      <xdr:rowOff>0</xdr:rowOff>
    </xdr:from>
    <xdr:to>
      <xdr:col>9</xdr:col>
      <xdr:colOff>317491</xdr:colOff>
      <xdr:row>143</xdr:row>
      <xdr:rowOff>172815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B62CF1-60F2-4372-9C9B-A3ACE1FA69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3685</xdr:colOff>
      <xdr:row>220</xdr:row>
      <xdr:rowOff>194595</xdr:rowOff>
    </xdr:from>
    <xdr:to>
      <xdr:col>8</xdr:col>
      <xdr:colOff>581481</xdr:colOff>
      <xdr:row>243</xdr:row>
      <xdr:rowOff>38870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CF3E4EB-E608-4BE9-9E6E-330D893911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401002</xdr:colOff>
      <xdr:row>91</xdr:row>
      <xdr:rowOff>135254</xdr:rowOff>
    </xdr:from>
    <xdr:to>
      <xdr:col>9</xdr:col>
      <xdr:colOff>277934</xdr:colOff>
      <xdr:row>115</xdr:row>
      <xdr:rowOff>133285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D60A104B-AD92-470B-B22B-FC1FC212A7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374225</xdr:colOff>
      <xdr:row>193</xdr:row>
      <xdr:rowOff>160655</xdr:rowOff>
    </xdr:from>
    <xdr:to>
      <xdr:col>9</xdr:col>
      <xdr:colOff>273147</xdr:colOff>
      <xdr:row>217</xdr:row>
      <xdr:rowOff>136620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2C1B78A3-E5BC-42DF-A405-1DCCE7155E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402906</xdr:colOff>
      <xdr:row>17</xdr:row>
      <xdr:rowOff>35719</xdr:rowOff>
    </xdr:from>
    <xdr:to>
      <xdr:col>9</xdr:col>
      <xdr:colOff>275581</xdr:colOff>
      <xdr:row>41</xdr:row>
      <xdr:rowOff>22320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B4BAD-3FD7-488D-A0C6-19AE2CC893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22</xdr:col>
      <xdr:colOff>0</xdr:colOff>
      <xdr:row>47</xdr:row>
      <xdr:rowOff>0</xdr:rowOff>
    </xdr:from>
    <xdr:to>
      <xdr:col>26</xdr:col>
      <xdr:colOff>367304</xdr:colOff>
      <xdr:row>70</xdr:row>
      <xdr:rowOff>172180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1692022-583A-4376-AC28-C9828B6E8E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27</xdr:col>
      <xdr:colOff>568641</xdr:colOff>
      <xdr:row>46</xdr:row>
      <xdr:rowOff>170974</xdr:rowOff>
    </xdr:from>
    <xdr:to>
      <xdr:col>37</xdr:col>
      <xdr:colOff>476062</xdr:colOff>
      <xdr:row>70</xdr:row>
      <xdr:rowOff>167893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13616AC8-5FFE-4A02-9E0A-116937548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22</xdr:col>
      <xdr:colOff>2722</xdr:colOff>
      <xdr:row>120</xdr:row>
      <xdr:rowOff>0</xdr:rowOff>
    </xdr:from>
    <xdr:to>
      <xdr:col>26</xdr:col>
      <xdr:colOff>436789</xdr:colOff>
      <xdr:row>143</xdr:row>
      <xdr:rowOff>172815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36FC8A6-1604-4B82-852F-723920D48C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22</xdr:col>
      <xdr:colOff>0</xdr:colOff>
      <xdr:row>221</xdr:row>
      <xdr:rowOff>0</xdr:rowOff>
    </xdr:from>
    <xdr:to>
      <xdr:col>26</xdr:col>
      <xdr:colOff>443499</xdr:colOff>
      <xdr:row>245</xdr:row>
      <xdr:rowOff>18510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EF6734B6-63F6-4F42-928E-99F36D4F94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27</xdr:col>
      <xdr:colOff>639877</xdr:colOff>
      <xdr:row>220</xdr:row>
      <xdr:rowOff>183697</xdr:rowOff>
    </xdr:from>
    <xdr:to>
      <xdr:col>36</xdr:col>
      <xdr:colOff>451449</xdr:colOff>
      <xdr:row>243</xdr:row>
      <xdr:rowOff>133627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C137CEE3-0A10-4103-AAB2-29D6A088C2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22</xdr:col>
      <xdr:colOff>0</xdr:colOff>
      <xdr:row>259</xdr:row>
      <xdr:rowOff>0</xdr:rowOff>
    </xdr:from>
    <xdr:to>
      <xdr:col>26</xdr:col>
      <xdr:colOff>367212</xdr:colOff>
      <xdr:row>282</xdr:row>
      <xdr:rowOff>172179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ACDA076-A4A8-42EC-B505-F736DE9843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3</xdr:col>
      <xdr:colOff>0</xdr:colOff>
      <xdr:row>259</xdr:row>
      <xdr:rowOff>0</xdr:rowOff>
    </xdr:from>
    <xdr:to>
      <xdr:col>9</xdr:col>
      <xdr:colOff>330198</xdr:colOff>
      <xdr:row>282</xdr:row>
      <xdr:rowOff>172179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51D73E98-DAB5-4AAE-BF2F-A66940CAA6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22</xdr:col>
      <xdr:colOff>0</xdr:colOff>
      <xdr:row>287</xdr:row>
      <xdr:rowOff>0</xdr:rowOff>
    </xdr:from>
    <xdr:to>
      <xdr:col>26</xdr:col>
      <xdr:colOff>367212</xdr:colOff>
      <xdr:row>310</xdr:row>
      <xdr:rowOff>172178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105C8649-A11B-49B2-BAA6-3B080DB46C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22</xdr:col>
      <xdr:colOff>0</xdr:colOff>
      <xdr:row>350</xdr:row>
      <xdr:rowOff>0</xdr:rowOff>
    </xdr:from>
    <xdr:to>
      <xdr:col>26</xdr:col>
      <xdr:colOff>367283</xdr:colOff>
      <xdr:row>373</xdr:row>
      <xdr:rowOff>172179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D0BDBF1-6151-4AF2-B9DA-2E9133FFA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28</xdr:col>
      <xdr:colOff>551202</xdr:colOff>
      <xdr:row>349</xdr:row>
      <xdr:rowOff>188004</xdr:rowOff>
    </xdr:from>
    <xdr:to>
      <xdr:col>39</xdr:col>
      <xdr:colOff>457300</xdr:colOff>
      <xdr:row>373</xdr:row>
      <xdr:rowOff>168413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335758E9-BA61-49FE-99DC-297798AB8B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22</xdr:col>
      <xdr:colOff>0</xdr:colOff>
      <xdr:row>92</xdr:row>
      <xdr:rowOff>0</xdr:rowOff>
    </xdr:from>
    <xdr:to>
      <xdr:col>26</xdr:col>
      <xdr:colOff>441687</xdr:colOff>
      <xdr:row>116</xdr:row>
      <xdr:rowOff>15653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DCFF4A-F5BE-49DD-99ED-47DDCE88E1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663748</xdr:colOff>
      <xdr:row>119</xdr:row>
      <xdr:rowOff>117606</xdr:rowOff>
    </xdr:from>
    <xdr:to>
      <xdr:col>20</xdr:col>
      <xdr:colOff>287335</xdr:colOff>
      <xdr:row>143</xdr:row>
      <xdr:rowOff>115637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605C7C-8025-495A-B73D-099D84F37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27</xdr:col>
      <xdr:colOff>548640</xdr:colOff>
      <xdr:row>120</xdr:row>
      <xdr:rowOff>0</xdr:rowOff>
    </xdr:from>
    <xdr:to>
      <xdr:col>37</xdr:col>
      <xdr:colOff>567472</xdr:colOff>
      <xdr:row>143</xdr:row>
      <xdr:rowOff>172815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B6328-5DEA-401A-B295-6332699558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447547</xdr:colOff>
      <xdr:row>220</xdr:row>
      <xdr:rowOff>147714</xdr:rowOff>
    </xdr:from>
    <xdr:to>
      <xdr:col>18</xdr:col>
      <xdr:colOff>513624</xdr:colOff>
      <xdr:row>243</xdr:row>
      <xdr:rowOff>2230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23D374-2153-4B17-B53C-C889E4AE3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266700</xdr:colOff>
      <xdr:row>47</xdr:row>
      <xdr:rowOff>0</xdr:rowOff>
    </xdr:from>
    <xdr:to>
      <xdr:col>18</xdr:col>
      <xdr:colOff>365594</xdr:colOff>
      <xdr:row>69</xdr:row>
      <xdr:rowOff>136621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FDCD2EB-F65A-4C50-9089-CB0A73C8B8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3</xdr:col>
      <xdr:colOff>0</xdr:colOff>
      <xdr:row>287</xdr:row>
      <xdr:rowOff>0</xdr:rowOff>
    </xdr:from>
    <xdr:to>
      <xdr:col>8</xdr:col>
      <xdr:colOff>583195</xdr:colOff>
      <xdr:row>309</xdr:row>
      <xdr:rowOff>136620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570FBC8-C8A3-4C45-9492-E9C635F2C5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357188</xdr:colOff>
      <xdr:row>287</xdr:row>
      <xdr:rowOff>11906</xdr:rowOff>
    </xdr:from>
    <xdr:to>
      <xdr:col>18</xdr:col>
      <xdr:colOff>479101</xdr:colOff>
      <xdr:row>309</xdr:row>
      <xdr:rowOff>133286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9B9CCEC-F577-480B-BCFF-3A58D0B5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28</xdr:col>
      <xdr:colOff>535781</xdr:colOff>
      <xdr:row>286</xdr:row>
      <xdr:rowOff>178594</xdr:rowOff>
    </xdr:from>
    <xdr:to>
      <xdr:col>39</xdr:col>
      <xdr:colOff>403451</xdr:colOff>
      <xdr:row>310</xdr:row>
      <xdr:rowOff>171702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A5DFCDB-9E2C-423D-A19D-417920BDE7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3</xdr:col>
      <xdr:colOff>0</xdr:colOff>
      <xdr:row>350</xdr:row>
      <xdr:rowOff>0</xdr:rowOff>
    </xdr:from>
    <xdr:to>
      <xdr:col>8</xdr:col>
      <xdr:colOff>596552</xdr:colOff>
      <xdr:row>372</xdr:row>
      <xdr:rowOff>135350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B4015-4775-4BA4-9901-ACAB2F5024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10</xdr:col>
      <xdr:colOff>0</xdr:colOff>
      <xdr:row>350</xdr:row>
      <xdr:rowOff>0</xdr:rowOff>
    </xdr:from>
    <xdr:to>
      <xdr:col>19</xdr:col>
      <xdr:colOff>415692</xdr:colOff>
      <xdr:row>372</xdr:row>
      <xdr:rowOff>136620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24CD4D0-5C9E-45B9-9153-29886D7211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</xdr:col>
      <xdr:colOff>29323</xdr:colOff>
      <xdr:row>323</xdr:row>
      <xdr:rowOff>101645</xdr:rowOff>
    </xdr:from>
    <xdr:to>
      <xdr:col>8</xdr:col>
      <xdr:colOff>540465</xdr:colOff>
      <xdr:row>346</xdr:row>
      <xdr:rowOff>57002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241B5DB-7DBA-474E-BFDE-BB48D256B8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21</xdr:col>
      <xdr:colOff>585108</xdr:colOff>
      <xdr:row>322</xdr:row>
      <xdr:rowOff>149678</xdr:rowOff>
    </xdr:from>
    <xdr:to>
      <xdr:col>25</xdr:col>
      <xdr:colOff>916493</xdr:colOff>
      <xdr:row>345</xdr:row>
      <xdr:rowOff>86983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821F4AB-0EE5-437D-AC99-E0FB646017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22</xdr:col>
      <xdr:colOff>0</xdr:colOff>
      <xdr:row>147</xdr:row>
      <xdr:rowOff>0</xdr:rowOff>
    </xdr:from>
    <xdr:to>
      <xdr:col>25</xdr:col>
      <xdr:colOff>1056696</xdr:colOff>
      <xdr:row>169</xdr:row>
      <xdr:rowOff>132809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15DB344-8F02-4C20-AAC6-22B57E59E4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3</xdr:col>
      <xdr:colOff>0</xdr:colOff>
      <xdr:row>147</xdr:row>
      <xdr:rowOff>0</xdr:rowOff>
    </xdr:from>
    <xdr:to>
      <xdr:col>8</xdr:col>
      <xdr:colOff>615370</xdr:colOff>
      <xdr:row>169</xdr:row>
      <xdr:rowOff>136619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30BA552-76B1-4CF5-8717-78AED27FC5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22</xdr:col>
      <xdr:colOff>0</xdr:colOff>
      <xdr:row>194</xdr:row>
      <xdr:rowOff>0</xdr:rowOff>
    </xdr:from>
    <xdr:to>
      <xdr:col>26</xdr:col>
      <xdr:colOff>480994</xdr:colOff>
      <xdr:row>217</xdr:row>
      <xdr:rowOff>131115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1696DD9-0F1D-42C8-A8AE-D9AF5BE5A4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86588</xdr:colOff>
      <xdr:row>147</xdr:row>
      <xdr:rowOff>134938</xdr:rowOff>
    </xdr:from>
    <xdr:to>
      <xdr:col>13</xdr:col>
      <xdr:colOff>25977</xdr:colOff>
      <xdr:row>168</xdr:row>
      <xdr:rowOff>155864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9DA342C-9B65-FAE0-1A6D-31D336C65887}"/>
            </a:ext>
          </a:extLst>
        </xdr:cNvPr>
        <xdr:cNvSpPr txBox="1"/>
      </xdr:nvSpPr>
      <xdr:spPr>
        <a:xfrm>
          <a:off x="10538111" y="33074120"/>
          <a:ext cx="3697434" cy="4021426"/>
        </a:xfrm>
        <a:prstGeom prst="roundRect">
          <a:avLst/>
        </a:prstGeom>
        <a:solidFill>
          <a:schemeClr val="lt1"/>
        </a:solidFill>
        <a:ln w="19050" cmpd="sng">
          <a:solidFill>
            <a:srgbClr val="23A5D9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Samfélagslosun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er losun gróðurhúsalofttegunda sem fellur undir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beina ábyrgð ríkja samkvæmt reglugerð (ESB)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2018/842 um sameiginlega ábyrgð (e. Effort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Sharing Regulation,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ESR).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endParaRPr lang="en-GB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Núgildandi markmið Íslands fyrir </a:t>
          </a:r>
          <a:r>
            <a:rPr lang="en-GB" sz="1000" b="0">
              <a:solidFill>
                <a:sysClr val="windowText" lastClr="000000"/>
              </a:solidFill>
            </a:rPr>
            <a:t>samfélagslosun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</a:rPr>
            <a:t>er 29% samdráttur árið 2030 miðað 2005.</a:t>
          </a:r>
          <a:endParaRPr lang="en-GB" sz="1000" baseline="0">
            <a:solidFill>
              <a:sysClr val="windowText" lastClr="000000"/>
            </a:solidFill>
          </a:endParaRPr>
        </a:p>
        <a:p>
          <a:pPr algn="ctr"/>
          <a:endParaRPr lang="en-GB" sz="1000" baseline="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Árið 2020 uppfærði ESB heildarmarkmið sitt fyrir losun árið 2030.</a:t>
          </a:r>
          <a:r>
            <a:rPr lang="en-GB" sz="1000" baseline="0">
              <a:solidFill>
                <a:sysClr val="windowText" lastClr="000000"/>
              </a:solidFill>
            </a:rPr>
            <a:t> Í </a:t>
          </a:r>
          <a:r>
            <a:rPr lang="en-GB" sz="1000">
              <a:solidFill>
                <a:sysClr val="windowText" lastClr="000000"/>
              </a:solidFill>
            </a:rPr>
            <a:t>þessari uppfærslu var markmið 2030 fyrir samfélagslosun ESB </a:t>
          </a:r>
          <a:r>
            <a:rPr lang="en-GB" sz="1000" b="1">
              <a:solidFill>
                <a:sysClr val="windowText" lastClr="000000"/>
              </a:solidFill>
            </a:rPr>
            <a:t>hækkað úr 30% í 40% </a:t>
          </a:r>
          <a:r>
            <a:rPr lang="en-GB" sz="1000">
              <a:solidFill>
                <a:sysClr val="windowText" lastClr="000000"/>
              </a:solidFill>
            </a:rPr>
            <a:t>miðað við 2005.</a:t>
          </a:r>
          <a:r>
            <a:rPr lang="en-GB" sz="1000" baseline="0">
              <a:solidFill>
                <a:sysClr val="windowText" lastClr="000000"/>
              </a:solidFill>
            </a:rPr>
            <a:t> R</a:t>
          </a:r>
          <a:r>
            <a:rPr lang="en-GB" sz="1000">
              <a:solidFill>
                <a:sysClr val="windowText" lastClr="000000"/>
              </a:solidFill>
            </a:rPr>
            <a:t>eglugerð (ESB) 2018/842 var því uppfærð með ný markmið fyrir hvert aðildarríkja ESB.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Vinna er hafin við að uppfæra markmiðin fyrir Ísland og Noreg og </a:t>
          </a:r>
          <a:r>
            <a:rPr lang="en-GB" sz="1000" b="1">
              <a:solidFill>
                <a:sysClr val="windowText" lastClr="000000"/>
              </a:solidFill>
            </a:rPr>
            <a:t>áætlað er að nýtt markmið fyrir Ísland verði 41% samdráttur </a:t>
          </a:r>
          <a:r>
            <a:rPr lang="en-GB" sz="1000">
              <a:solidFill>
                <a:sysClr val="windowText" lastClr="000000"/>
              </a:solidFill>
            </a:rPr>
            <a:t>árið 2030 miðað við 2005. 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Grafið</a:t>
          </a:r>
          <a:r>
            <a:rPr lang="en-GB" sz="1000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</a:rPr>
            <a:t>til vinstri sýnir samfélagslosun Íslands ásamt úthlutaðar losunarheimildir fyrir árin 2021-2023 (sem haldast óbreytt), sem og áætlaðar árlegar losunarheimildir fyrir árin 2024-2030 byggðar á væntanlegu 41% markmiði.</a:t>
          </a:r>
          <a:endParaRPr lang="en-GB" sz="10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40821</xdr:colOff>
      <xdr:row>147</xdr:row>
      <xdr:rowOff>136071</xdr:rowOff>
    </xdr:from>
    <xdr:to>
      <xdr:col>29</xdr:col>
      <xdr:colOff>202251</xdr:colOff>
      <xdr:row>168</xdr:row>
      <xdr:rowOff>6185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DC058E-D987-4284-AF78-4B98AB88C781}"/>
            </a:ext>
          </a:extLst>
        </xdr:cNvPr>
        <xdr:cNvSpPr txBox="1"/>
      </xdr:nvSpPr>
      <xdr:spPr>
        <a:xfrm>
          <a:off x="29282571" y="33065357"/>
          <a:ext cx="3821751" cy="3870614"/>
        </a:xfrm>
        <a:prstGeom prst="roundRect">
          <a:avLst/>
        </a:prstGeom>
        <a:solidFill>
          <a:schemeClr val="lt1"/>
        </a:solidFill>
        <a:ln w="19050" cmpd="sng">
          <a:solidFill>
            <a:srgbClr val="23A5D9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 emissions 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 to the greenhouse gas emissions that fall under the scope of Regulation (EU) 2018/842 </a:t>
          </a:r>
          <a:r>
            <a:rPr lang="en-GB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GB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Effort</a:t>
          </a:r>
          <a:r>
            <a:rPr lang="en-GB" sz="10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Sharing Regulation, </a:t>
          </a:r>
          <a:r>
            <a:rPr lang="en-GB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ESR).</a:t>
          </a:r>
          <a:r>
            <a:rPr lang="en-GB" sz="10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000">
            <a:solidFill>
              <a:sysClr val="windowText" lastClr="000000"/>
            </a:solidFill>
            <a:effectLst/>
          </a:endParaRPr>
        </a:p>
        <a:p>
          <a:pPr algn="ctr"/>
          <a:endParaRPr lang="en-GB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The</a:t>
          </a:r>
          <a:r>
            <a:rPr lang="en-GB" sz="1000" baseline="0">
              <a:solidFill>
                <a:sysClr val="windowText" lastClr="000000"/>
              </a:solidFill>
            </a:rPr>
            <a:t> target currently in force for Iceland's ESR emissions is 29%  reduction by 2030 compared to 2005.</a:t>
          </a:r>
        </a:p>
        <a:p>
          <a:pPr algn="ctr"/>
          <a:endParaRPr lang="en-GB" sz="1000" baseline="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In  2020, the EU updated its</a:t>
          </a:r>
          <a:r>
            <a:rPr lang="en-GB" sz="1000" baseline="0">
              <a:solidFill>
                <a:sysClr val="windowText" lastClr="000000"/>
              </a:solidFill>
            </a:rPr>
            <a:t> total emission target for 2030. This includes the target for ESR emissions which was </a:t>
          </a:r>
          <a:r>
            <a:rPr lang="en-GB" sz="1000" b="1" baseline="0">
              <a:solidFill>
                <a:sysClr val="windowText" lastClr="000000"/>
              </a:solidFill>
            </a:rPr>
            <a:t>increased from 30% to 40% </a:t>
          </a:r>
          <a:r>
            <a:rPr lang="en-GB" sz="1000" baseline="0">
              <a:solidFill>
                <a:sysClr val="windowText" lastClr="000000"/>
              </a:solidFill>
            </a:rPr>
            <a:t>(by 2030 compared to 2005). Following the target update, the ESR was revised with new targets for each EU country.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Iceland and Norway are in</a:t>
          </a:r>
          <a:r>
            <a:rPr lang="en-GB" sz="1000" baseline="0">
              <a:solidFill>
                <a:sysClr val="windowText" lastClr="000000"/>
              </a:solidFill>
            </a:rPr>
            <a:t> the process of determining their updated ESR target for 2030. </a:t>
          </a:r>
          <a:r>
            <a:rPr lang="en-GB" sz="1000" b="1" baseline="0">
              <a:solidFill>
                <a:sysClr val="windowText" lastClr="000000"/>
              </a:solidFill>
            </a:rPr>
            <a:t>The new target for Iceland is expected to be 41% </a:t>
          </a:r>
          <a:r>
            <a:rPr lang="en-GB" sz="1000" baseline="0">
              <a:solidFill>
                <a:sysClr val="windowText" lastClr="000000"/>
              </a:solidFill>
            </a:rPr>
            <a:t>compared to 2005.</a:t>
          </a:r>
          <a:endParaRPr lang="en-GB" sz="1000">
            <a:solidFill>
              <a:sysClr val="windowText" lastClr="000000"/>
            </a:solidFill>
          </a:endParaRP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The graph</a:t>
          </a:r>
          <a:r>
            <a:rPr lang="en-GB" sz="1000" baseline="0">
              <a:solidFill>
                <a:sysClr val="windowText" lastClr="000000"/>
              </a:solidFill>
            </a:rPr>
            <a:t> on the left shows Iceland's ESR emissions and emission allocations for 2021-2030. Allocations for 2021-2023 remain unchanged, i.e. based on the previous 29% target, while the allocations shown for 2024-2030 are based on the anticipated 41% target.</a:t>
          </a:r>
          <a:endParaRPr lang="en-GB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379306</xdr:colOff>
      <xdr:row>23</xdr:row>
      <xdr:rowOff>10582</xdr:rowOff>
    </xdr:from>
    <xdr:to>
      <xdr:col>12</xdr:col>
      <xdr:colOff>289605</xdr:colOff>
      <xdr:row>46</xdr:row>
      <xdr:rowOff>173872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DA686-F799-45BF-AE3A-46009E2F3F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234633</xdr:colOff>
      <xdr:row>23</xdr:row>
      <xdr:rowOff>162561</xdr:rowOff>
    </xdr:from>
    <xdr:to>
      <xdr:col>25</xdr:col>
      <xdr:colOff>21265</xdr:colOff>
      <xdr:row>47</xdr:row>
      <xdr:rowOff>169006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BD697F6-D432-4B90-B738-DE02AD21CB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68415</xdr:colOff>
      <xdr:row>569</xdr:row>
      <xdr:rowOff>57254</xdr:rowOff>
    </xdr:from>
    <xdr:ext cx="7680000" cy="4320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83375F-B045-4C3E-AFCF-14D67F05888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17417</xdr:colOff>
      <xdr:row>434</xdr:row>
      <xdr:rowOff>225605</xdr:rowOff>
    </xdr:from>
    <xdr:ext cx="7680000" cy="4320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EE5B6A-3B3E-4207-A542-764C57F96D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17417</xdr:colOff>
      <xdr:row>607</xdr:row>
      <xdr:rowOff>36808</xdr:rowOff>
    </xdr:from>
    <xdr:ext cx="8281255" cy="4268406"/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7B31D6-64C7-4DA3-A0AC-68EFB41645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</xdr:col>
      <xdr:colOff>90845</xdr:colOff>
      <xdr:row>633</xdr:row>
      <xdr:rowOff>91813</xdr:rowOff>
    </xdr:from>
    <xdr:ext cx="7680000" cy="43200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E123133-1DC1-431F-8FBB-1732A87FB3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</xdr:col>
      <xdr:colOff>376362</xdr:colOff>
      <xdr:row>502</xdr:row>
      <xdr:rowOff>54219</xdr:rowOff>
    </xdr:from>
    <xdr:ext cx="7680000" cy="4320000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2F610D2-5244-4FBE-84A9-93DDA792BC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twoCellAnchor editAs="oneCell">
    <xdr:from>
      <xdr:col>31</xdr:col>
      <xdr:colOff>64224</xdr:colOff>
      <xdr:row>335</xdr:row>
      <xdr:rowOff>60416</xdr:rowOff>
    </xdr:from>
    <xdr:to>
      <xdr:col>38</xdr:col>
      <xdr:colOff>184345</xdr:colOff>
      <xdr:row>359</xdr:row>
      <xdr:rowOff>134988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4C639211-F09E-45C7-9A05-C8539D52AE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30</xdr:col>
      <xdr:colOff>661306</xdr:colOff>
      <xdr:row>364</xdr:row>
      <xdr:rowOff>118655</xdr:rowOff>
    </xdr:from>
    <xdr:ext cx="7680000" cy="4320000"/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2E9A30CA-5729-480E-9842-A9049EC690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 editAs="oneCell">
    <xdr:from>
      <xdr:col>31</xdr:col>
      <xdr:colOff>19321</xdr:colOff>
      <xdr:row>406</xdr:row>
      <xdr:rowOff>172536</xdr:rowOff>
    </xdr:from>
    <xdr:to>
      <xdr:col>38</xdr:col>
      <xdr:colOff>108145</xdr:colOff>
      <xdr:row>431</xdr:row>
      <xdr:rowOff>21773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8A29711D-FEB7-43AE-A4F5-581327E4FD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</xdr:col>
      <xdr:colOff>5299</xdr:colOff>
      <xdr:row>539</xdr:row>
      <xdr:rowOff>174094</xdr:rowOff>
    </xdr:from>
    <xdr:to>
      <xdr:col>12</xdr:col>
      <xdr:colOff>478843</xdr:colOff>
      <xdr:row>564</xdr:row>
      <xdr:rowOff>73882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104D29AA-97F6-426A-9CD2-8FE8454B3B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30</xdr:col>
      <xdr:colOff>639738</xdr:colOff>
      <xdr:row>540</xdr:row>
      <xdr:rowOff>142873</xdr:rowOff>
    </xdr:from>
    <xdr:to>
      <xdr:col>36</xdr:col>
      <xdr:colOff>516946</xdr:colOff>
      <xdr:row>563</xdr:row>
      <xdr:rowOff>56608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78BDAF05-BBF2-4A0B-8007-C26927B75E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30</xdr:col>
      <xdr:colOff>707570</xdr:colOff>
      <xdr:row>568</xdr:row>
      <xdr:rowOff>208463</xdr:rowOff>
    </xdr:from>
    <xdr:ext cx="7680000" cy="4320000"/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98978951-D9A3-4FB8-B301-70DE50B63D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39</xdr:col>
      <xdr:colOff>188117</xdr:colOff>
      <xdr:row>568</xdr:row>
      <xdr:rowOff>106656</xdr:rowOff>
    </xdr:from>
    <xdr:ext cx="7680000" cy="4320000"/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0C552E43-5527-44FF-9593-9E21A74EBB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31</xdr:col>
      <xdr:colOff>34834</xdr:colOff>
      <xdr:row>607</xdr:row>
      <xdr:rowOff>103958</xdr:rowOff>
    </xdr:from>
    <xdr:ext cx="8281255" cy="4268406"/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79EBF94F-9E46-4287-8F58-36BEB5425B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39</xdr:col>
      <xdr:colOff>197100</xdr:colOff>
      <xdr:row>634</xdr:row>
      <xdr:rowOff>0</xdr:rowOff>
    </xdr:from>
    <xdr:ext cx="7680000" cy="4320000"/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BFC26866-F473-4B0A-81F3-3172920C3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twoCellAnchor editAs="oneCell">
    <xdr:from>
      <xdr:col>31</xdr:col>
      <xdr:colOff>58239</xdr:colOff>
      <xdr:row>52</xdr:row>
      <xdr:rowOff>91439</xdr:rowOff>
    </xdr:from>
    <xdr:to>
      <xdr:col>38</xdr:col>
      <xdr:colOff>114101</xdr:colOff>
      <xdr:row>76</xdr:row>
      <xdr:rowOff>18509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1A607B-8D0D-4199-8A5A-39D9F95D1F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</xdr:col>
      <xdr:colOff>169001</xdr:colOff>
      <xdr:row>76</xdr:row>
      <xdr:rowOff>50345</xdr:rowOff>
    </xdr:from>
    <xdr:to>
      <xdr:col>12</xdr:col>
      <xdr:colOff>479399</xdr:colOff>
      <xdr:row>99</xdr:row>
      <xdr:rowOff>173358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13C3FF6-4E2D-4F73-B4D4-33F3A7D0FF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31</xdr:col>
      <xdr:colOff>50618</xdr:colOff>
      <xdr:row>77</xdr:row>
      <xdr:rowOff>95250</xdr:rowOff>
    </xdr:from>
    <xdr:to>
      <xdr:col>38</xdr:col>
      <xdr:colOff>111730</xdr:colOff>
      <xdr:row>101</xdr:row>
      <xdr:rowOff>18510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082E6EF-3C4F-4128-8BAB-85095E96D9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404812</xdr:colOff>
      <xdr:row>149</xdr:row>
      <xdr:rowOff>-1</xdr:rowOff>
    </xdr:from>
    <xdr:to>
      <xdr:col>12</xdr:col>
      <xdr:colOff>367791</xdr:colOff>
      <xdr:row>174</xdr:row>
      <xdr:rowOff>136619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1D4EF10-DD2B-46E2-B263-D752417ED9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13</xdr:col>
      <xdr:colOff>21431</xdr:colOff>
      <xdr:row>149</xdr:row>
      <xdr:rowOff>59050</xdr:rowOff>
    </xdr:from>
    <xdr:to>
      <xdr:col>25</xdr:col>
      <xdr:colOff>403769</xdr:colOff>
      <xdr:row>175</xdr:row>
      <xdr:rowOff>21363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349B4CA-4C44-4853-920A-425A6CB7B2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31</xdr:col>
      <xdr:colOff>0</xdr:colOff>
      <xdr:row>149</xdr:row>
      <xdr:rowOff>47624</xdr:rowOff>
    </xdr:from>
    <xdr:to>
      <xdr:col>38</xdr:col>
      <xdr:colOff>110926</xdr:colOff>
      <xdr:row>175</xdr:row>
      <xdr:rowOff>21367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F1B5A2B-6CA1-4FF4-84EE-21617C8A9E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38</xdr:col>
      <xdr:colOff>252413</xdr:colOff>
      <xdr:row>149</xdr:row>
      <xdr:rowOff>64292</xdr:rowOff>
    </xdr:from>
    <xdr:to>
      <xdr:col>49</xdr:col>
      <xdr:colOff>286508</xdr:colOff>
      <xdr:row>175</xdr:row>
      <xdr:rowOff>18985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43076A4-CB6F-4EFB-86EB-62AD845679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2</xdr:col>
      <xdr:colOff>399709</xdr:colOff>
      <xdr:row>194</xdr:row>
      <xdr:rowOff>75452</xdr:rowOff>
    </xdr:from>
    <xdr:ext cx="7680000" cy="4320000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6D97424-A104-4C70-B287-BCDA0A42AD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30</xdr:col>
      <xdr:colOff>662941</xdr:colOff>
      <xdr:row>194</xdr:row>
      <xdr:rowOff>0</xdr:rowOff>
    </xdr:from>
    <xdr:ext cx="7680000" cy="4320000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DBF3331-5668-4EE5-B02C-57CC9CFD68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30</xdr:col>
      <xdr:colOff>748393</xdr:colOff>
      <xdr:row>223</xdr:row>
      <xdr:rowOff>133350</xdr:rowOff>
    </xdr:from>
    <xdr:ext cx="7680000" cy="43200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C404FED-34CE-4FA2-A4F1-C1EFB095E3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3</xdr:col>
      <xdr:colOff>0</xdr:colOff>
      <xdr:row>224</xdr:row>
      <xdr:rowOff>0</xdr:rowOff>
    </xdr:from>
    <xdr:ext cx="7680000" cy="432000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E7BC66C-1144-4E14-8611-A81FFE6004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3</xdr:col>
      <xdr:colOff>0</xdr:colOff>
      <xdr:row>267</xdr:row>
      <xdr:rowOff>0</xdr:rowOff>
    </xdr:from>
    <xdr:to>
      <xdr:col>12</xdr:col>
      <xdr:colOff>361224</xdr:colOff>
      <xdr:row>291</xdr:row>
      <xdr:rowOff>59331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808B6BA-CDD3-41A1-B0D7-02B2B4343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30</xdr:col>
      <xdr:colOff>680358</xdr:colOff>
      <xdr:row>267</xdr:row>
      <xdr:rowOff>40821</xdr:rowOff>
    </xdr:from>
    <xdr:to>
      <xdr:col>38</xdr:col>
      <xdr:colOff>76700</xdr:colOff>
      <xdr:row>291</xdr:row>
      <xdr:rowOff>94437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BD8EB03-EFDF-45E1-83D1-9DD5C7D274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oneCellAnchor>
    <xdr:from>
      <xdr:col>3</xdr:col>
      <xdr:colOff>0</xdr:colOff>
      <xdr:row>295</xdr:row>
      <xdr:rowOff>0</xdr:rowOff>
    </xdr:from>
    <xdr:ext cx="7678800" cy="4320000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17D41306-D7FB-4EAC-A483-01463F0230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twoCellAnchor editAs="oneCell">
    <xdr:from>
      <xdr:col>3</xdr:col>
      <xdr:colOff>0</xdr:colOff>
      <xdr:row>335</xdr:row>
      <xdr:rowOff>0</xdr:rowOff>
    </xdr:from>
    <xdr:to>
      <xdr:col>12</xdr:col>
      <xdr:colOff>361920</xdr:colOff>
      <xdr:row>359</xdr:row>
      <xdr:rowOff>74572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BBCC90AE-B6EF-43C8-AA52-40BEB176ED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</xdr:col>
      <xdr:colOff>394606</xdr:colOff>
      <xdr:row>406</xdr:row>
      <xdr:rowOff>0</xdr:rowOff>
    </xdr:from>
    <xdr:to>
      <xdr:col>12</xdr:col>
      <xdr:colOff>399591</xdr:colOff>
      <xdr:row>430</xdr:row>
      <xdr:rowOff>22320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FDACBAC6-B68E-4AA4-9616-FCCD5F2432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oneCellAnchor>
    <xdr:from>
      <xdr:col>30</xdr:col>
      <xdr:colOff>693963</xdr:colOff>
      <xdr:row>434</xdr:row>
      <xdr:rowOff>204107</xdr:rowOff>
    </xdr:from>
    <xdr:ext cx="7680000" cy="4320000"/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CCA2D2DB-FF09-4BE8-8D89-606A960BC8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oneCellAnchor>
  <xdr:oneCellAnchor>
    <xdr:from>
      <xdr:col>31</xdr:col>
      <xdr:colOff>0</xdr:colOff>
      <xdr:row>634</xdr:row>
      <xdr:rowOff>0</xdr:rowOff>
    </xdr:from>
    <xdr:ext cx="7680000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0D9D7-5398-4CD7-B8B2-F79B33611B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oneCellAnchor>
  <xdr:oneCellAnchor>
    <xdr:from>
      <xdr:col>14</xdr:col>
      <xdr:colOff>153489</xdr:colOff>
      <xdr:row>223</xdr:row>
      <xdr:rowOff>136070</xdr:rowOff>
    </xdr:from>
    <xdr:ext cx="7680000" cy="4320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CA8956-CA84-4359-8349-F40205744C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oneCellAnchor>
  <xdr:oneCellAnchor>
    <xdr:from>
      <xdr:col>13</xdr:col>
      <xdr:colOff>51888</xdr:colOff>
      <xdr:row>294</xdr:row>
      <xdr:rowOff>149679</xdr:rowOff>
    </xdr:from>
    <xdr:ext cx="7678800" cy="4320000"/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6F727F7-D881-422C-B0C2-E3467E69EE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oneCellAnchor>
    <xdr:from>
      <xdr:col>13</xdr:col>
      <xdr:colOff>17318</xdr:colOff>
      <xdr:row>434</xdr:row>
      <xdr:rowOff>190499</xdr:rowOff>
    </xdr:from>
    <xdr:ext cx="7680000" cy="4320000"/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DC3B34E-D4E7-430B-B709-A3F2F35F02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oneCellAnchor>
  <xdr:oneCellAnchor>
    <xdr:from>
      <xdr:col>13</xdr:col>
      <xdr:colOff>311727</xdr:colOff>
      <xdr:row>568</xdr:row>
      <xdr:rowOff>207817</xdr:rowOff>
    </xdr:from>
    <xdr:ext cx="7680000" cy="4320000"/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938E529D-E246-4610-BF8B-B36175A2B6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oneCellAnchor>
  <xdr:twoCellAnchor editAs="oneCell">
    <xdr:from>
      <xdr:col>38</xdr:col>
      <xdr:colOff>521154</xdr:colOff>
      <xdr:row>52</xdr:row>
      <xdr:rowOff>162875</xdr:rowOff>
    </xdr:from>
    <xdr:to>
      <xdr:col>49</xdr:col>
      <xdr:colOff>551049</xdr:colOff>
      <xdr:row>76</xdr:row>
      <xdr:rowOff>130903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70B188C-1F65-494F-8B3C-B2D7E9C3F3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38</xdr:col>
      <xdr:colOff>620214</xdr:colOff>
      <xdr:row>77</xdr:row>
      <xdr:rowOff>85318</xdr:rowOff>
    </xdr:from>
    <xdr:to>
      <xdr:col>49</xdr:col>
      <xdr:colOff>663295</xdr:colOff>
      <xdr:row>101</xdr:row>
      <xdr:rowOff>54298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7141BE64-48C9-439E-BA51-975FBF972E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oneCellAnchor>
    <xdr:from>
      <xdr:col>13</xdr:col>
      <xdr:colOff>258535</xdr:colOff>
      <xdr:row>501</xdr:row>
      <xdr:rowOff>165760</xdr:rowOff>
    </xdr:from>
    <xdr:ext cx="7680000" cy="4320000"/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C343053E-CDD2-4735-9CE0-670796B108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oneCellAnchor>
  <xdr:oneCellAnchor>
    <xdr:from>
      <xdr:col>31</xdr:col>
      <xdr:colOff>0</xdr:colOff>
      <xdr:row>502</xdr:row>
      <xdr:rowOff>0</xdr:rowOff>
    </xdr:from>
    <xdr:ext cx="7680000" cy="4320000"/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42F23039-301C-4954-8EA2-2E0F0B178A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oneCellAnchor>
  <xdr:oneCellAnchor>
    <xdr:from>
      <xdr:col>38</xdr:col>
      <xdr:colOff>550373</xdr:colOff>
      <xdr:row>501</xdr:row>
      <xdr:rowOff>134736</xdr:rowOff>
    </xdr:from>
    <xdr:ext cx="7680000" cy="4320000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6A8B2116-A378-4C45-8238-522F351DCC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oneCellAnchor>
  <xdr:oneCellAnchor>
    <xdr:from>
      <xdr:col>30</xdr:col>
      <xdr:colOff>679767</xdr:colOff>
      <xdr:row>475</xdr:row>
      <xdr:rowOff>59532</xdr:rowOff>
    </xdr:from>
    <xdr:ext cx="7680000" cy="4320000"/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4206969-46A6-4D84-AB2B-72B8304CDC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oneCellAnchor>
  <xdr:oneCellAnchor>
    <xdr:from>
      <xdr:col>38</xdr:col>
      <xdr:colOff>378724</xdr:colOff>
      <xdr:row>434</xdr:row>
      <xdr:rowOff>215240</xdr:rowOff>
    </xdr:from>
    <xdr:ext cx="7680000" cy="4320000"/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4145E806-9EF3-48C1-A1BF-19F69EE7BF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oneCellAnchor>
  <xdr:oneCellAnchor>
    <xdr:from>
      <xdr:col>38</xdr:col>
      <xdr:colOff>293733</xdr:colOff>
      <xdr:row>364</xdr:row>
      <xdr:rowOff>76381</xdr:rowOff>
    </xdr:from>
    <xdr:ext cx="7680000" cy="4320000"/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61FC8B4D-B378-4B07-A047-83B1AC246D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oneCellAnchor>
  <xdr:oneCellAnchor>
    <xdr:from>
      <xdr:col>31</xdr:col>
      <xdr:colOff>0</xdr:colOff>
      <xdr:row>295</xdr:row>
      <xdr:rowOff>0</xdr:rowOff>
    </xdr:from>
    <xdr:ext cx="7678800" cy="4320000"/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C4F81982-40EE-4D31-BE4B-90D64E08BD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oneCellAnchor>
  <xdr:oneCellAnchor>
    <xdr:from>
      <xdr:col>38</xdr:col>
      <xdr:colOff>536121</xdr:colOff>
      <xdr:row>294</xdr:row>
      <xdr:rowOff>164465</xdr:rowOff>
    </xdr:from>
    <xdr:ext cx="7678800" cy="4320000"/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19C3D53F-1148-4C8F-8012-A1A7CE2970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oneCellAnchor>
  <xdr:oneCellAnchor>
    <xdr:from>
      <xdr:col>38</xdr:col>
      <xdr:colOff>597625</xdr:colOff>
      <xdr:row>223</xdr:row>
      <xdr:rowOff>167097</xdr:rowOff>
    </xdr:from>
    <xdr:ext cx="7680000" cy="4320000"/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C099F2CB-EDEF-494A-8800-388B76EF926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oneCellAnchor>
  <xdr:oneCellAnchor>
    <xdr:from>
      <xdr:col>13</xdr:col>
      <xdr:colOff>92002</xdr:colOff>
      <xdr:row>633</xdr:row>
      <xdr:rowOff>73703</xdr:rowOff>
    </xdr:from>
    <xdr:ext cx="7678800" cy="4320000"/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BBE378B-5B0D-4524-A58B-726DCDBBDF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oneCellAnchor>
  <xdr:oneCellAnchor>
    <xdr:from>
      <xdr:col>2</xdr:col>
      <xdr:colOff>394292</xdr:colOff>
      <xdr:row>475</xdr:row>
      <xdr:rowOff>13594</xdr:rowOff>
    </xdr:from>
    <xdr:ext cx="7680000" cy="432000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FD2F2D2-6FCE-498F-9E22-1AEB875AB4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oneCellAnchor>
  <xdr:oneCellAnchor>
    <xdr:from>
      <xdr:col>2</xdr:col>
      <xdr:colOff>381000</xdr:colOff>
      <xdr:row>364</xdr:row>
      <xdr:rowOff>68036</xdr:rowOff>
    </xdr:from>
    <xdr:ext cx="7680000" cy="4320000"/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848F950-682A-4591-8AEF-41B5976503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oneCellAnchor>
  <xdr:oneCellAnchor>
    <xdr:from>
      <xdr:col>13</xdr:col>
      <xdr:colOff>84365</xdr:colOff>
      <xdr:row>364</xdr:row>
      <xdr:rowOff>103233</xdr:rowOff>
    </xdr:from>
    <xdr:ext cx="7680000" cy="432000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DD84FF6-82CE-41B3-99A6-BDAB5004F4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oneCellAnchor>
  <xdr:twoCellAnchor editAs="oneCell">
    <xdr:from>
      <xdr:col>31</xdr:col>
      <xdr:colOff>92075</xdr:colOff>
      <xdr:row>23</xdr:row>
      <xdr:rowOff>64452</xdr:rowOff>
    </xdr:from>
    <xdr:to>
      <xdr:col>38</xdr:col>
      <xdr:colOff>324953</xdr:colOff>
      <xdr:row>47</xdr:row>
      <xdr:rowOff>72802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D356F7F-B3B1-4CCF-9C53-6010A8E57E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38</xdr:col>
      <xdr:colOff>552884</xdr:colOff>
      <xdr:row>23</xdr:row>
      <xdr:rowOff>53340</xdr:rowOff>
    </xdr:from>
    <xdr:to>
      <xdr:col>49</xdr:col>
      <xdr:colOff>497631</xdr:colOff>
      <xdr:row>47</xdr:row>
      <xdr:rowOff>38830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873B035-AC62-4B3A-873E-2424104D2C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3</xdr:col>
      <xdr:colOff>0</xdr:colOff>
      <xdr:row>52</xdr:row>
      <xdr:rowOff>0</xdr:rowOff>
    </xdr:from>
    <xdr:to>
      <xdr:col>12</xdr:col>
      <xdr:colOff>323774</xdr:colOff>
      <xdr:row>74</xdr:row>
      <xdr:rowOff>97976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FFC1509-776E-4FE9-8D46-B84070210E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12</xdr:col>
      <xdr:colOff>431209</xdr:colOff>
      <xdr:row>51</xdr:row>
      <xdr:rowOff>186689</xdr:rowOff>
    </xdr:from>
    <xdr:to>
      <xdr:col>25</xdr:col>
      <xdr:colOff>247958</xdr:colOff>
      <xdr:row>75</xdr:row>
      <xdr:rowOff>111582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7CF2CF92-BF34-4582-A108-EDE18E1703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12</xdr:col>
      <xdr:colOff>513262</xdr:colOff>
      <xdr:row>76</xdr:row>
      <xdr:rowOff>94433</xdr:rowOff>
    </xdr:from>
    <xdr:to>
      <xdr:col>25</xdr:col>
      <xdr:colOff>306179</xdr:colOff>
      <xdr:row>100</xdr:row>
      <xdr:rowOff>53888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F63A66E1-19C9-4A9D-8E66-4482348829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3</xdr:col>
      <xdr:colOff>0</xdr:colOff>
      <xdr:row>119</xdr:row>
      <xdr:rowOff>0</xdr:rowOff>
    </xdr:from>
    <xdr:to>
      <xdr:col>12</xdr:col>
      <xdr:colOff>140214</xdr:colOff>
      <xdr:row>144</xdr:row>
      <xdr:rowOff>90061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34BCE6-053A-4CF8-BFA8-A4E1E16915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31</xdr:col>
      <xdr:colOff>0</xdr:colOff>
      <xdr:row>119</xdr:row>
      <xdr:rowOff>0</xdr:rowOff>
    </xdr:from>
    <xdr:to>
      <xdr:col>38</xdr:col>
      <xdr:colOff>140897</xdr:colOff>
      <xdr:row>144</xdr:row>
      <xdr:rowOff>125349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D6E6DDB-993D-4EA2-AB60-5418A914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ST Avenir">
      <a:majorFont>
        <a:latin typeface="Avenir Next LT Pro Demi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A2:S11"/>
  <sheetViews>
    <sheetView tabSelected="1" zoomScale="80" zoomScaleNormal="80" workbookViewId="0">
      <selection activeCell="A3" sqref="A3"/>
    </sheetView>
  </sheetViews>
  <sheetFormatPr defaultColWidth="8.77734375" defaultRowHeight="15" x14ac:dyDescent="0.25"/>
  <cols>
    <col min="1" max="1" width="17.33203125" style="1" customWidth="1"/>
    <col min="2" max="2" width="30.77734375" style="1" customWidth="1"/>
    <col min="3" max="3" width="90.33203125" style="1" customWidth="1"/>
    <col min="4" max="12" width="6" style="1" customWidth="1"/>
    <col min="13" max="16384" width="8.77734375" style="1"/>
  </cols>
  <sheetData>
    <row r="2" spans="1:19" ht="20.25" x14ac:dyDescent="0.3">
      <c r="B2" s="65" t="s">
        <v>0</v>
      </c>
    </row>
    <row r="3" spans="1:19" s="4" customFormat="1" x14ac:dyDescent="0.25">
      <c r="A3" s="17"/>
      <c r="B3" s="17"/>
      <c r="D3" s="3"/>
      <c r="E3" s="3"/>
      <c r="F3" s="3"/>
      <c r="G3" s="3"/>
      <c r="H3" s="3"/>
      <c r="I3" s="3"/>
      <c r="J3" s="3"/>
      <c r="S3" s="35"/>
    </row>
    <row r="4" spans="1:19" ht="37.9" customHeight="1" x14ac:dyDescent="0.25">
      <c r="B4" s="553" t="s">
        <v>271</v>
      </c>
      <c r="C4" s="554" t="s">
        <v>355</v>
      </c>
    </row>
    <row r="5" spans="1:19" ht="37.9" customHeight="1" x14ac:dyDescent="0.25">
      <c r="B5" s="553" t="s">
        <v>272</v>
      </c>
      <c r="C5" s="554" t="s">
        <v>355</v>
      </c>
    </row>
    <row r="6" spans="1:19" ht="37.9" customHeight="1" x14ac:dyDescent="0.25">
      <c r="B6" s="553" t="s">
        <v>273</v>
      </c>
      <c r="C6" s="554" t="s">
        <v>356</v>
      </c>
    </row>
    <row r="7" spans="1:19" ht="38.25" customHeight="1" x14ac:dyDescent="0.25">
      <c r="B7" s="555" t="s">
        <v>274</v>
      </c>
      <c r="C7" s="556" t="s">
        <v>303</v>
      </c>
    </row>
    <row r="8" spans="1:19" ht="72" customHeight="1" x14ac:dyDescent="0.25">
      <c r="B8" s="557"/>
      <c r="C8" s="556" t="s">
        <v>275</v>
      </c>
    </row>
    <row r="9" spans="1:19" x14ac:dyDescent="0.25">
      <c r="B9" s="16"/>
      <c r="C9" s="16"/>
    </row>
    <row r="10" spans="1:19" x14ac:dyDescent="0.25">
      <c r="B10" s="17"/>
      <c r="C10" s="558"/>
    </row>
    <row r="11" spans="1:19" ht="98.25" customHeight="1" x14ac:dyDescent="0.25">
      <c r="B11" s="675" t="s">
        <v>276</v>
      </c>
      <c r="C11" s="675"/>
    </row>
  </sheetData>
  <mergeCells count="1">
    <mergeCell ref="B11:C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A1:AR380"/>
  <sheetViews>
    <sheetView topLeftCell="C1" zoomScale="70" zoomScaleNormal="70" workbookViewId="0">
      <selection activeCell="N24" sqref="N24"/>
    </sheetView>
  </sheetViews>
  <sheetFormatPr defaultColWidth="8.77734375" defaultRowHeight="15" x14ac:dyDescent="0.25"/>
  <cols>
    <col min="1" max="1" width="12.21875" style="259" hidden="1" customWidth="1"/>
    <col min="2" max="2" width="8.21875" style="255" hidden="1" customWidth="1"/>
    <col min="3" max="3" width="6" style="255" customWidth="1"/>
    <col min="4" max="4" width="30.77734375" style="1" customWidth="1"/>
    <col min="5" max="6" width="12.6640625" style="1" customWidth="1"/>
    <col min="7" max="7" width="14.21875" style="1" customWidth="1"/>
    <col min="8" max="10" width="12.6640625" style="1" customWidth="1"/>
    <col min="11" max="13" width="10.44140625" style="1" customWidth="1"/>
    <col min="14" max="14" width="9.6640625" style="1" customWidth="1"/>
    <col min="15" max="20" width="8.77734375" style="1"/>
    <col min="21" max="21" width="8.5546875" style="1" customWidth="1"/>
    <col min="22" max="22" width="8.77734375" style="1"/>
    <col min="23" max="23" width="48" style="1" customWidth="1"/>
    <col min="24" max="24" width="17.21875" style="1" customWidth="1"/>
    <col min="25" max="25" width="12.6640625" style="1" customWidth="1"/>
    <col min="26" max="26" width="17.21875" style="1" customWidth="1"/>
    <col min="27" max="27" width="12.6640625" style="1" customWidth="1"/>
    <col min="28" max="28" width="17.21875" style="1" customWidth="1"/>
    <col min="29" max="29" width="12.6640625" style="1" customWidth="1"/>
    <col min="30" max="30" width="9.5546875" style="1" customWidth="1"/>
    <col min="31" max="16384" width="8.77734375" style="1"/>
  </cols>
  <sheetData>
    <row r="1" spans="1:44" s="354" customFormat="1" ht="45.75" customHeight="1" x14ac:dyDescent="0.45">
      <c r="A1" s="344"/>
      <c r="B1" s="407">
        <v>2030</v>
      </c>
      <c r="C1" s="373"/>
      <c r="D1" s="354" t="s">
        <v>133</v>
      </c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422"/>
      <c r="V1" s="373"/>
      <c r="W1" s="2" t="s">
        <v>203</v>
      </c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55"/>
      <c r="AQ1" s="355"/>
      <c r="AR1" s="355"/>
    </row>
    <row r="2" spans="1:44" s="356" customFormat="1" ht="37.5" customHeight="1" x14ac:dyDescent="0.25">
      <c r="A2" s="652" t="s">
        <v>151</v>
      </c>
      <c r="B2" s="406">
        <v>2023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423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57"/>
      <c r="AQ2" s="357"/>
      <c r="AR2" s="357"/>
    </row>
    <row r="3" spans="1:44" x14ac:dyDescent="0.25">
      <c r="A3" s="344"/>
      <c r="B3" s="408">
        <f>$B$2-1</f>
        <v>2022</v>
      </c>
      <c r="U3" s="377"/>
    </row>
    <row r="4" spans="1:44" ht="18.75" customHeight="1" x14ac:dyDescent="0.25">
      <c r="A4" s="344"/>
      <c r="B4" s="408">
        <v>2013</v>
      </c>
      <c r="D4" s="660" t="str">
        <f>"Losun árið "&amp;$B$2&amp;" í samanburði við losun fyrri ára"</f>
        <v>Losun árið 2023 í samanburði við losun fyrri ára</v>
      </c>
      <c r="E4" s="660"/>
      <c r="F4" s="660"/>
      <c r="G4" s="660"/>
      <c r="H4" s="660"/>
      <c r="I4" s="660"/>
      <c r="J4" s="660"/>
      <c r="U4" s="377"/>
      <c r="W4" s="697" t="str">
        <f>"Emissions in "&amp;$B$2&amp;" compared to emissions in previous years"</f>
        <v>Emissions in 2023 compared to emissions in previous years</v>
      </c>
      <c r="X4" s="697"/>
      <c r="Y4" s="697"/>
      <c r="Z4" s="697"/>
      <c r="AA4" s="697"/>
      <c r="AB4" s="697"/>
      <c r="AC4" s="697"/>
    </row>
    <row r="5" spans="1:44" ht="19.5" customHeight="1" x14ac:dyDescent="0.25">
      <c r="A5" s="344"/>
      <c r="B5" s="344">
        <v>2005</v>
      </c>
      <c r="D5" s="107"/>
      <c r="E5" s="707" t="str">
        <f>"Losun "&amp;$B$2</f>
        <v>Losun 2023</v>
      </c>
      <c r="F5" s="708"/>
      <c r="G5" s="707" t="str">
        <f>"Breyting frá "&amp;$B$3</f>
        <v>Breyting frá 2022</v>
      </c>
      <c r="H5" s="708"/>
      <c r="I5" s="707" t="str">
        <f>"Breyting frá "&amp;$B$5</f>
        <v>Breyting frá 2005</v>
      </c>
      <c r="J5" s="709"/>
      <c r="K5" s="16"/>
      <c r="L5" s="16"/>
      <c r="M5" s="16"/>
      <c r="N5" s="706"/>
      <c r="O5" s="706"/>
      <c r="P5" s="706"/>
      <c r="Q5" s="56"/>
      <c r="R5" s="56"/>
      <c r="S5" s="58"/>
      <c r="T5" s="56"/>
      <c r="U5" s="378"/>
      <c r="W5" s="107"/>
      <c r="X5" s="698" t="str">
        <f>"Emissions in "&amp;$B$2</f>
        <v>Emissions in 2023</v>
      </c>
      <c r="Y5" s="699"/>
      <c r="Z5" s="698" t="str">
        <f>"Change from "&amp;$B$3</f>
        <v>Change from 2022</v>
      </c>
      <c r="AA5" s="699"/>
      <c r="AB5" s="698" t="str">
        <f>"Change from "&amp;$B$5</f>
        <v>Change from 2005</v>
      </c>
      <c r="AC5" s="700"/>
    </row>
    <row r="6" spans="1:44" ht="33.75" customHeight="1" x14ac:dyDescent="0.25">
      <c r="A6" s="344"/>
      <c r="B6" s="408">
        <v>1990</v>
      </c>
      <c r="D6" s="107"/>
      <c r="E6" s="89" t="s">
        <v>5</v>
      </c>
      <c r="F6" s="88" t="s">
        <v>4</v>
      </c>
      <c r="G6" s="55" t="s">
        <v>5</v>
      </c>
      <c r="H6" s="88" t="s">
        <v>4</v>
      </c>
      <c r="I6" s="55" t="s">
        <v>5</v>
      </c>
      <c r="J6" s="55" t="s">
        <v>4</v>
      </c>
      <c r="K6" s="16"/>
      <c r="L6" s="16"/>
      <c r="M6" s="16"/>
      <c r="N6" s="685"/>
      <c r="O6" s="685"/>
      <c r="P6" s="63"/>
      <c r="Q6" s="56"/>
      <c r="R6" s="56"/>
      <c r="S6" s="58"/>
      <c r="T6" s="56"/>
      <c r="U6" s="378"/>
      <c r="W6" s="107"/>
      <c r="X6" s="89" t="s">
        <v>204</v>
      </c>
      <c r="Y6" s="88" t="s">
        <v>4</v>
      </c>
      <c r="Z6" s="89" t="s">
        <v>204</v>
      </c>
      <c r="AA6" s="88" t="s">
        <v>4</v>
      </c>
      <c r="AB6" s="89" t="s">
        <v>204</v>
      </c>
      <c r="AC6" s="55" t="s">
        <v>4</v>
      </c>
    </row>
    <row r="7" spans="1:44" s="16" customFormat="1" ht="27" customHeight="1" x14ac:dyDescent="0.25">
      <c r="A7" s="260"/>
      <c r="C7" s="262"/>
      <c r="D7" s="272" t="s">
        <v>282</v>
      </c>
      <c r="E7" s="266"/>
      <c r="F7" s="267"/>
      <c r="G7" s="268"/>
      <c r="H7" s="267"/>
      <c r="I7" s="268"/>
      <c r="J7" s="269"/>
      <c r="N7" s="677"/>
      <c r="O7" s="677"/>
      <c r="P7" s="61"/>
      <c r="Q7" s="28"/>
      <c r="R7" s="28"/>
      <c r="S7" s="28"/>
      <c r="T7" s="28"/>
      <c r="U7" s="379"/>
      <c r="V7" s="57"/>
      <c r="W7" s="272" t="s">
        <v>205</v>
      </c>
      <c r="X7" s="266"/>
      <c r="Y7" s="267"/>
      <c r="Z7" s="268"/>
      <c r="AA7" s="267"/>
      <c r="AB7" s="268"/>
      <c r="AC7" s="269"/>
    </row>
    <row r="8" spans="1:44" s="16" customFormat="1" x14ac:dyDescent="0.25">
      <c r="A8" s="637" t="s">
        <v>137</v>
      </c>
      <c r="C8" s="262"/>
      <c r="D8" s="270" t="s">
        <v>45</v>
      </c>
      <c r="E8" s="273" cm="1">
        <f t="array" ref="E8">INDEX('Talnagögn | Numerical Data'!$1:$1048576, _xlfn.XMATCH($A8,'Talnagögn | Numerical Data'!$A:$A), _xlfn.XMATCH($B$2,'Talnagögn | Numerical Data'!$121:$121))</f>
        <v>2812.6902746094856</v>
      </c>
      <c r="F8" s="274">
        <f>E8/$E$13</f>
        <v>0.22164273678251142</v>
      </c>
      <c r="G8" s="392" cm="1">
        <f t="array" ref="G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_xlfn.XMATCH($B$3,'Talnagögn | Numerical Data'!$121:$121))</f>
        <v>-71.175484421990404</v>
      </c>
      <c r="H8" s="575" cm="1">
        <f t="array" ref="H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_xlfn.XMATCH($B$3,'Talnagögn | Numerical Data'!$121:$121))-1</f>
        <v>-2.4680581680713964E-2</v>
      </c>
      <c r="I8" s="392" cm="1">
        <f t="array" ref="I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_xlfn.XMATCH($B$5,'Talnagögn | Numerical Data'!$121:$121))</f>
        <v>-437.49896563533775</v>
      </c>
      <c r="J8" s="274" cm="1">
        <f t="array" ref="J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_xlfn.XMATCH($B$5,'Talnagögn | Numerical Data'!$121:$121))-1</f>
        <v>-0.13460722847091289</v>
      </c>
      <c r="N8" s="56"/>
      <c r="O8" s="56"/>
      <c r="P8" s="61"/>
      <c r="Q8" s="28"/>
      <c r="R8" s="28"/>
      <c r="S8" s="28"/>
      <c r="T8" s="28"/>
      <c r="U8" s="379"/>
      <c r="V8" s="57"/>
      <c r="W8" s="270" t="s">
        <v>206</v>
      </c>
      <c r="X8" s="273" cm="1">
        <f t="array" ref="X8">INDEX('Talnagögn | Numerical Data'!$1:$1048576, _xlfn.XMATCH($A8,'Talnagögn | Numerical Data'!$A:$A), _xlfn.XMATCH($B$2,'Talnagögn | Numerical Data'!$121:$121))</f>
        <v>2812.6902746094856</v>
      </c>
      <c r="Y8" s="274">
        <f>X8/$E$13</f>
        <v>0.22164273678251142</v>
      </c>
      <c r="Z8" s="392" cm="1">
        <f t="array" ref="Z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_xlfn.XMATCH($B$3,'Talnagögn | Numerical Data'!$121:$121))</f>
        <v>-71.175484421990404</v>
      </c>
      <c r="AA8" s="575" cm="1">
        <f t="array" ref="AA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_xlfn.XMATCH($B$3,'Talnagögn | Numerical Data'!$121:$121))-1</f>
        <v>-2.4680581680713964E-2</v>
      </c>
      <c r="AB8" s="392" cm="1">
        <f t="array" ref="AB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_xlfn.XMATCH($B$5,'Talnagögn | Numerical Data'!$121:$121))</f>
        <v>-437.49896563533775</v>
      </c>
      <c r="AC8" s="274" cm="1">
        <f t="array" ref="AC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_xlfn.XMATCH($B$5,'Talnagögn | Numerical Data'!$121:$121))-1</f>
        <v>-0.13460722847091289</v>
      </c>
    </row>
    <row r="9" spans="1:44" s="16" customFormat="1" x14ac:dyDescent="0.25">
      <c r="A9" s="260" t="s">
        <v>111</v>
      </c>
      <c r="B9" s="262" t="s">
        <v>56</v>
      </c>
      <c r="C9" s="262"/>
      <c r="D9" s="271" t="s">
        <v>197</v>
      </c>
      <c r="E9" s="602" t="s">
        <v>294</v>
      </c>
      <c r="F9" s="659" t="s">
        <v>294</v>
      </c>
      <c r="G9" s="602" t="s">
        <v>294</v>
      </c>
      <c r="H9" s="659" t="s">
        <v>294</v>
      </c>
      <c r="I9" s="275" cm="1">
        <f t="array" ref="I9">INDEX('Talnagögn | Numerical Data'!$1:$1048576, _xlfn.XMATCH($A8,'Talnagögn | Numerical Data'!$A:$A), _xlfn.XMATCH($B$2,'Talnagögn | Numerical Data'!$121:$121))-'Talnagögn | Numerical Data'!$H$139</f>
        <v>-296.63872539051454</v>
      </c>
      <c r="J9" s="644" cm="1">
        <f t="array" ref="J9">INDEX('Talnagögn | Numerical Data'!$1:$1048576, _xlfn.XMATCH($A8,'Talnagögn | Numerical Data'!$A:$A), _xlfn.XMATCH($B$2,'Talnagögn | Numerical Data'!$121:$121))/'Talnagögn | Numerical Data'!$H$139-1</f>
        <v>-9.5402810506869606E-2</v>
      </c>
      <c r="N9" s="56"/>
      <c r="O9" s="56"/>
      <c r="P9" s="61"/>
      <c r="Q9" s="28"/>
      <c r="R9" s="28"/>
      <c r="S9" s="28"/>
      <c r="T9" s="28"/>
      <c r="U9" s="379"/>
      <c r="V9" s="57"/>
      <c r="W9" s="271" t="s">
        <v>207</v>
      </c>
      <c r="X9" s="602" t="s">
        <v>294</v>
      </c>
      <c r="Y9" s="659" t="s">
        <v>294</v>
      </c>
      <c r="Z9" s="602" t="s">
        <v>294</v>
      </c>
      <c r="AA9" s="659" t="s">
        <v>294</v>
      </c>
      <c r="AB9" s="275" cm="1">
        <f t="array" ref="AB9">INDEX('Talnagögn | Numerical Data'!$1:$1048576, _xlfn.XMATCH($A8,'Talnagögn | Numerical Data'!$A:$A), _xlfn.XMATCH($B$2,'Talnagögn | Numerical Data'!$121:$121))-'Talnagögn | Numerical Data'!$H$139</f>
        <v>-296.63872539051454</v>
      </c>
      <c r="AC9" s="644" cm="1">
        <f t="array" ref="AC9">INDEX('Talnagögn | Numerical Data'!$1:$1048576, _xlfn.XMATCH($A8,'Talnagögn | Numerical Data'!$A:$A), _xlfn.XMATCH($B$2,'Talnagögn | Numerical Data'!$121:$121))/'Talnagögn | Numerical Data'!$H$139-1</f>
        <v>-9.5402810506869606E-2</v>
      </c>
    </row>
    <row r="10" spans="1:44" s="16" customFormat="1" ht="27" customHeight="1" x14ac:dyDescent="0.25">
      <c r="A10" s="260" t="s">
        <v>53</v>
      </c>
      <c r="B10" s="262" t="s">
        <v>56</v>
      </c>
      <c r="C10" s="262"/>
      <c r="D10" s="277" t="s">
        <v>167</v>
      </c>
      <c r="E10" s="282" cm="1">
        <f t="array" ref="E10">INDEX('Talnagögn | Numerical Data'!$1:$1048576, _xlfn.XMATCH($A10,'Talnagögn | Numerical Data'!$A:$A), _xlfn.XMATCH($B$2,'Talnagögn | Numerical Data'!2:2))</f>
        <v>8042.6370814570228</v>
      </c>
      <c r="F10" s="283">
        <f>E10/$E$13</f>
        <v>0.63376764579247535</v>
      </c>
      <c r="G10" s="653" cm="1">
        <f t="array" ref="G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_xlfn.XMATCH($B$3,'Talnagögn | Numerical Data'!$2:$2))</f>
        <v>-0.91424369098967873</v>
      </c>
      <c r="H10" s="654" cm="1">
        <f t="array" ref="H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_xlfn.XMATCH($B$3,'Talnagögn | Numerical Data'!$2:$2))-1</f>
        <v>-1.1366169668503012E-4</v>
      </c>
      <c r="I10" s="282" cm="1">
        <f t="array" ref="I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_xlfn.XMATCH($B$5,'Talnagögn | Numerical Data'!$2:$2))</f>
        <v>-51.678426327570378</v>
      </c>
      <c r="J10" s="655" cm="1">
        <f t="array" ref="J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_xlfn.XMATCH($B$5,'Talnagögn | Numerical Data'!$2:$2))-1</f>
        <v>-6.3845332292605805E-3</v>
      </c>
      <c r="N10" s="56"/>
      <c r="O10" s="56"/>
      <c r="P10" s="61"/>
      <c r="Q10" s="28"/>
      <c r="R10" s="28"/>
      <c r="S10" s="28"/>
      <c r="T10" s="28"/>
      <c r="U10" s="379"/>
      <c r="V10" s="57"/>
      <c r="W10" s="417" t="s">
        <v>208</v>
      </c>
      <c r="X10" s="282" cm="1">
        <f t="array" ref="X10">INDEX('Talnagögn | Numerical Data'!$1:$1048576, _xlfn.XMATCH($A10,'Talnagögn | Numerical Data'!$A:$A), _xlfn.XMATCH($B$2,'Talnagögn | Numerical Data'!2:2))</f>
        <v>8042.6370814570228</v>
      </c>
      <c r="Y10" s="283">
        <f>X10/$E$13</f>
        <v>0.63376764579247535</v>
      </c>
      <c r="Z10" s="653" cm="1">
        <f t="array" ref="Z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_xlfn.XMATCH($B$3,'Talnagögn | Numerical Data'!$2:$2))</f>
        <v>-0.91424369098967873</v>
      </c>
      <c r="AA10" s="654" cm="1">
        <f t="array" ref="AA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_xlfn.XMATCH($B$3,'Talnagögn | Numerical Data'!$2:$2))-1</f>
        <v>-1.1366169668503012E-4</v>
      </c>
      <c r="AB10" s="282" cm="1">
        <f t="array" ref="AB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_xlfn.XMATCH($B$5,'Talnagögn | Numerical Data'!$2:$2))</f>
        <v>-51.678426327570378</v>
      </c>
      <c r="AC10" s="655" cm="1">
        <f t="array" ref="AC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_xlfn.XMATCH($B$5,'Talnagögn | Numerical Data'!$2:$2))-1</f>
        <v>-6.3845332292605805E-3</v>
      </c>
    </row>
    <row r="11" spans="1:44" s="16" customFormat="1" ht="27" customHeight="1" x14ac:dyDescent="0.25">
      <c r="A11" s="260" t="s">
        <v>98</v>
      </c>
      <c r="B11" s="262" t="s">
        <v>56</v>
      </c>
      <c r="C11" s="262"/>
      <c r="D11" s="276" t="s">
        <v>199</v>
      </c>
      <c r="E11" s="278" cm="1">
        <f t="array" ref="E11">INDEX('Talnagögn | Numerical Data'!$1:$1048576, _xlfn.XMATCH($A11,'Talnagögn | Numerical Data'!$A:$A), _xlfn.XMATCH($B$2,'Talnagögn | Numerical Data'!163:163))</f>
        <v>1812.53</v>
      </c>
      <c r="F11" s="582">
        <f>E11/$E$13</f>
        <v>0.14282913171311842</v>
      </c>
      <c r="G11" s="279" cm="1">
        <f t="array" ref="G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_xlfn.XMATCH($B$3,'Talnagögn | Numerical Data'!$163:$163))</f>
        <v>-62.546000000000049</v>
      </c>
      <c r="H11" s="280" cm="1">
        <f t="array" ref="H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_xlfn.XMATCH($B$3,'Talnagögn | Numerical Data'!$163:$163))-1</f>
        <v>-3.3356514615940913E-2</v>
      </c>
      <c r="I11" s="278" cm="1">
        <f t="array" ref="I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_xlfn.XMATCH($B$5,'Talnagögn | Numerical Data'!$163:$163))</f>
        <v>959.64706890721277</v>
      </c>
      <c r="J11" s="281" cm="1">
        <f t="array" ref="J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_xlfn.XMATCH($B$5,'Talnagögn | Numerical Data'!$163:$163))-1</f>
        <v>1.1251802960549697</v>
      </c>
      <c r="N11" s="677"/>
      <c r="O11" s="677"/>
      <c r="P11" s="61"/>
      <c r="Q11" s="28"/>
      <c r="R11" s="28"/>
      <c r="S11" s="28"/>
      <c r="T11" s="28"/>
      <c r="U11" s="379"/>
      <c r="V11" s="57"/>
      <c r="W11" s="276" t="s">
        <v>209</v>
      </c>
      <c r="X11" s="278" cm="1">
        <f t="array" ref="X11">INDEX('Talnagögn | Numerical Data'!$1:$1048576, _xlfn.XMATCH($A11,'Talnagögn | Numerical Data'!$A:$A), _xlfn.XMATCH($B$2,'Talnagögn | Numerical Data'!163:163))</f>
        <v>1812.53</v>
      </c>
      <c r="Y11" s="582">
        <f>X11/$E$13</f>
        <v>0.14282913171311842</v>
      </c>
      <c r="Z11" s="279" cm="1">
        <f t="array" ref="Z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_xlfn.XMATCH($B$3,'Talnagögn | Numerical Data'!$163:$163))</f>
        <v>-62.546000000000049</v>
      </c>
      <c r="AA11" s="280" cm="1">
        <f t="array" ref="AA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_xlfn.XMATCH($B$3,'Talnagögn | Numerical Data'!$163:$163))-1</f>
        <v>-3.3356514615940913E-2</v>
      </c>
      <c r="AB11" s="278" cm="1">
        <f t="array" ref="AB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_xlfn.XMATCH($B$5,'Talnagögn | Numerical Data'!$163:$163))</f>
        <v>959.64706890721277</v>
      </c>
      <c r="AC11" s="281" cm="1">
        <f t="array" ref="AC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_xlfn.XMATCH($B$5,'Talnagögn | Numerical Data'!$163:$163))-1</f>
        <v>1.1251802960549697</v>
      </c>
    </row>
    <row r="12" spans="1:44" s="16" customFormat="1" ht="28.5" customHeight="1" x14ac:dyDescent="0.25">
      <c r="A12" s="260" t="s">
        <v>99</v>
      </c>
      <c r="B12" s="262" t="s">
        <v>56</v>
      </c>
      <c r="C12" s="262"/>
      <c r="D12" s="405" t="s">
        <v>201</v>
      </c>
      <c r="E12" s="70" cm="1">
        <f t="array" ref="E12">INDEX('Talnagögn | Numerical Data'!$1:$1048576, _xlfn.XMATCH($A12,'Talnagögn | Numerical Data'!$A:$A), _xlfn.XMATCH($B$2,'Talnagögn | Numerical Data'!$121:$121))</f>
        <v>22.340912733333333</v>
      </c>
      <c r="F12" s="581">
        <f>E12/$E$13</f>
        <v>1.7604857118947278E-3</v>
      </c>
      <c r="G12" s="187" cm="1">
        <f t="array" ref="G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_xlfn.XMATCH($B$3,'Talnagögn | Numerical Data'!$121:$121))</f>
        <v>-1.7444127800000011</v>
      </c>
      <c r="H12" s="120" cm="1">
        <f t="array" ref="H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_xlfn.XMATCH($B$3,'Talnagögn | Numerical Data'!$121:$121))-1</f>
        <v>-7.242637343781444E-2</v>
      </c>
      <c r="I12" s="118" cm="1">
        <f t="array" ref="I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_xlfn.XMATCH($B$5,'Talnagögn | Numerical Data'!$121:$121))</f>
        <v>-3.66622542</v>
      </c>
      <c r="J12" s="75" cm="1">
        <f t="array" ref="J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_xlfn.XMATCH($B$5,'Talnagögn | Numerical Data'!$121:$121))-1</f>
        <v>-0.14096996749064061</v>
      </c>
      <c r="N12" s="677"/>
      <c r="O12" s="677"/>
      <c r="P12" s="58"/>
      <c r="Q12" s="28"/>
      <c r="R12" s="28"/>
      <c r="S12" s="28"/>
      <c r="T12" s="28"/>
      <c r="U12" s="379"/>
      <c r="V12" s="57"/>
      <c r="W12" s="405" t="s">
        <v>210</v>
      </c>
      <c r="X12" s="70" cm="1">
        <f t="array" ref="X12">INDEX('Talnagögn | Numerical Data'!$1:$1048576, _xlfn.XMATCH($A12,'Talnagögn | Numerical Data'!$A:$A), _xlfn.XMATCH($B$2,'Talnagögn | Numerical Data'!$121:$121))</f>
        <v>22.340912733333333</v>
      </c>
      <c r="Y12" s="581">
        <f>X12/$E$13</f>
        <v>1.7604857118947278E-3</v>
      </c>
      <c r="Z12" s="187" cm="1">
        <f t="array" ref="Z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_xlfn.XMATCH($B$3,'Talnagögn | Numerical Data'!$121:$121))</f>
        <v>-1.7444127800000011</v>
      </c>
      <c r="AA12" s="120" cm="1">
        <f t="array" ref="AA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_xlfn.XMATCH($B$3,'Talnagögn | Numerical Data'!$121:$121))-1</f>
        <v>-7.242637343781444E-2</v>
      </c>
      <c r="AB12" s="118" cm="1">
        <f t="array" ref="AB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_xlfn.XMATCH($B$5,'Talnagögn | Numerical Data'!$121:$121))</f>
        <v>-3.66622542</v>
      </c>
      <c r="AC12" s="75" cm="1">
        <f t="array" ref="AC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_xlfn.XMATCH($B$5,'Talnagögn | Numerical Data'!$121:$121))-1</f>
        <v>-0.14096996749064061</v>
      </c>
    </row>
    <row r="13" spans="1:44" s="16" customFormat="1" ht="28.5" customHeight="1" x14ac:dyDescent="0.25">
      <c r="A13" s="260" t="s">
        <v>55</v>
      </c>
      <c r="B13" s="262" t="s">
        <v>56</v>
      </c>
      <c r="C13" s="262"/>
      <c r="D13" s="62" t="s">
        <v>13</v>
      </c>
      <c r="E13" s="184" cm="1">
        <f t="array" ref="E13">INDEX('Talnagögn | Numerical Data'!$1:$1048576, _xlfn.XMATCH($A13,'Talnagögn | Numerical Data'!$A:$A), _xlfn.XMATCH($B$2,'Talnagögn | Numerical Data'!2:2))</f>
        <v>12690.198268799842</v>
      </c>
      <c r="F13" s="185">
        <f>SUM(F7:F12)</f>
        <v>0.99999999999999989</v>
      </c>
      <c r="G13" s="188" cm="1">
        <f t="array" ref="G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_xlfn.XMATCH($B$3,'Talnagögn | Numerical Data'!$2:$2))</f>
        <v>-136.3801408929794</v>
      </c>
      <c r="H13" s="579" cm="1">
        <f t="array" ref="H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_xlfn.XMATCH($B$3,'Talnagögn | Numerical Data'!$2:$2))-1</f>
        <v>-1.0632620527226466E-2</v>
      </c>
      <c r="I13" s="188" cm="1">
        <f t="array" ref="I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_xlfn.XMATCH($B$5,'Talnagögn | Numerical Data'!$2:$2))</f>
        <v>466.80345152430527</v>
      </c>
      <c r="J13" s="190" cm="1">
        <f t="array" ref="J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_xlfn.XMATCH($B$5,'Talnagögn | Numerical Data'!$2:$2))-1</f>
        <v>3.818934579979083E-2</v>
      </c>
      <c r="N13" s="56"/>
      <c r="O13" s="56"/>
      <c r="P13" s="61"/>
      <c r="Q13" s="28"/>
      <c r="R13" s="28"/>
      <c r="S13" s="28"/>
      <c r="T13" s="28"/>
      <c r="U13" s="379"/>
      <c r="V13" s="57"/>
      <c r="W13" s="62" t="s">
        <v>211</v>
      </c>
      <c r="X13" s="184" cm="1">
        <f t="array" ref="X13">INDEX('Talnagögn | Numerical Data'!$1:$1048576, _xlfn.XMATCH($A13,'Talnagögn | Numerical Data'!$A:$A), _xlfn.XMATCH($B$2,'Talnagögn | Numerical Data'!2:2))</f>
        <v>12690.198268799842</v>
      </c>
      <c r="Y13" s="185">
        <f>SUM(Y7:Y12)</f>
        <v>0.99999999999999989</v>
      </c>
      <c r="Z13" s="188" cm="1">
        <f t="array" ref="Z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_xlfn.XMATCH($B$3,'Talnagögn | Numerical Data'!$2:$2))</f>
        <v>-136.3801408929794</v>
      </c>
      <c r="AA13" s="579" cm="1">
        <f t="array" ref="AA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_xlfn.XMATCH($B$3,'Talnagögn | Numerical Data'!$2:$2))-1</f>
        <v>-1.0632620527226466E-2</v>
      </c>
      <c r="AB13" s="188" cm="1">
        <f t="array" ref="AB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_xlfn.XMATCH($B$5,'Talnagögn | Numerical Data'!$2:$2))</f>
        <v>466.80345152430527</v>
      </c>
      <c r="AC13" s="190" cm="1">
        <f t="array" ref="AC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_xlfn.XMATCH($B$5,'Talnagögn | Numerical Data'!$2:$2))-1</f>
        <v>3.818934579979083E-2</v>
      </c>
    </row>
    <row r="14" spans="1:44" s="16" customFormat="1" x14ac:dyDescent="0.25">
      <c r="B14" s="262" t="s">
        <v>56</v>
      </c>
      <c r="C14" s="262"/>
      <c r="D14" s="40" t="s">
        <v>198</v>
      </c>
      <c r="E14" s="121"/>
      <c r="F14" s="86"/>
      <c r="G14" s="66"/>
      <c r="H14" s="80"/>
      <c r="I14" s="66"/>
      <c r="J14" s="80"/>
      <c r="N14" s="56"/>
      <c r="O14" s="56"/>
      <c r="P14" s="61"/>
      <c r="Q14" s="28"/>
      <c r="R14" s="28"/>
      <c r="S14" s="28"/>
      <c r="T14" s="28"/>
      <c r="U14" s="379"/>
      <c r="V14" s="57"/>
      <c r="W14" s="40" t="s">
        <v>212</v>
      </c>
      <c r="X14" s="12"/>
      <c r="Y14" s="12"/>
      <c r="Z14" s="12"/>
      <c r="AA14" s="12"/>
      <c r="AB14" s="12"/>
      <c r="AC14" s="12"/>
    </row>
    <row r="15" spans="1:44" s="16" customFormat="1" x14ac:dyDescent="0.25">
      <c r="B15" s="262" t="s">
        <v>56</v>
      </c>
      <c r="C15" s="262"/>
      <c r="D15" s="94" t="s">
        <v>202</v>
      </c>
      <c r="E15" s="66"/>
      <c r="F15" s="67"/>
      <c r="H15" s="56"/>
      <c r="I15" s="56"/>
      <c r="J15" s="61"/>
      <c r="K15" s="28"/>
      <c r="L15" s="28"/>
      <c r="M15" s="28"/>
      <c r="N15" s="28"/>
      <c r="O15" s="28"/>
      <c r="P15" s="61"/>
      <c r="Q15" s="28"/>
      <c r="R15" s="28"/>
      <c r="S15" s="28"/>
      <c r="T15" s="28"/>
      <c r="U15" s="379"/>
      <c r="V15" s="57"/>
      <c r="W15" s="94" t="s">
        <v>213</v>
      </c>
      <c r="X15" s="121"/>
      <c r="Y15" s="86"/>
      <c r="Z15" s="66"/>
      <c r="AA15" s="80"/>
      <c r="AB15" s="66"/>
      <c r="AC15" s="80"/>
    </row>
    <row r="16" spans="1:44" s="16" customFormat="1" x14ac:dyDescent="0.25">
      <c r="A16" s="259"/>
      <c r="B16" s="262" t="s">
        <v>56</v>
      </c>
      <c r="C16" s="262"/>
      <c r="D16" s="291" t="s">
        <v>200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4"/>
      <c r="S16" s="14"/>
      <c r="T16" s="14"/>
      <c r="U16" s="380"/>
      <c r="V16" s="57"/>
      <c r="W16" s="40" t="s">
        <v>214</v>
      </c>
      <c r="X16" s="66"/>
      <c r="Y16" s="67"/>
      <c r="AA16" s="56"/>
      <c r="AB16" s="56"/>
      <c r="AC16" s="61"/>
    </row>
    <row r="17" spans="1:27" s="16" customFormat="1" x14ac:dyDescent="0.25">
      <c r="A17" s="259"/>
      <c r="B17" s="262"/>
      <c r="C17" s="262"/>
      <c r="D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77"/>
      <c r="V17" s="57"/>
    </row>
    <row r="18" spans="1:27" x14ac:dyDescent="0.25">
      <c r="B18" s="262"/>
      <c r="C18" s="262"/>
      <c r="D18" s="10"/>
      <c r="U18" s="377"/>
      <c r="V18" s="14"/>
      <c r="W18" s="14"/>
      <c r="X18" s="14"/>
      <c r="Y18" s="14"/>
      <c r="Z18" s="14"/>
      <c r="AA18" s="15"/>
    </row>
    <row r="19" spans="1:27" x14ac:dyDescent="0.25">
      <c r="D19" s="10"/>
      <c r="U19" s="377"/>
    </row>
    <row r="20" spans="1:27" x14ac:dyDescent="0.25">
      <c r="D20" s="10"/>
      <c r="U20" s="377"/>
    </row>
    <row r="21" spans="1:27" x14ac:dyDescent="0.25">
      <c r="D21" s="10"/>
      <c r="U21" s="377"/>
    </row>
    <row r="22" spans="1:27" x14ac:dyDescent="0.25">
      <c r="D22" s="10"/>
      <c r="U22" s="377"/>
    </row>
    <row r="23" spans="1:27" x14ac:dyDescent="0.25">
      <c r="D23" s="10"/>
      <c r="U23" s="377"/>
    </row>
    <row r="24" spans="1:27" x14ac:dyDescent="0.25">
      <c r="D24" s="10"/>
      <c r="U24" s="377"/>
    </row>
    <row r="25" spans="1:27" x14ac:dyDescent="0.25">
      <c r="D25" s="10"/>
      <c r="U25" s="377"/>
    </row>
    <row r="26" spans="1:27" x14ac:dyDescent="0.25">
      <c r="D26" s="10"/>
      <c r="U26" s="377"/>
    </row>
    <row r="27" spans="1:27" x14ac:dyDescent="0.25">
      <c r="D27" s="10"/>
      <c r="U27" s="377"/>
    </row>
    <row r="28" spans="1:27" x14ac:dyDescent="0.25">
      <c r="D28" s="10"/>
      <c r="U28" s="377"/>
    </row>
    <row r="29" spans="1:27" ht="15" customHeight="1" x14ac:dyDescent="0.25">
      <c r="D29" s="10"/>
      <c r="U29" s="377"/>
    </row>
    <row r="30" spans="1:27" ht="15" customHeight="1" x14ac:dyDescent="0.25">
      <c r="D30" s="10"/>
      <c r="U30" s="377"/>
    </row>
    <row r="31" spans="1:27" ht="15" customHeight="1" x14ac:dyDescent="0.25">
      <c r="D31" s="10"/>
      <c r="U31" s="377"/>
    </row>
    <row r="32" spans="1:27" x14ac:dyDescent="0.25">
      <c r="D32" s="10"/>
      <c r="U32" s="377"/>
    </row>
    <row r="33" spans="4:23" x14ac:dyDescent="0.25">
      <c r="D33" s="10"/>
      <c r="U33" s="377"/>
    </row>
    <row r="34" spans="4:23" x14ac:dyDescent="0.25">
      <c r="D34" s="10"/>
      <c r="U34" s="377"/>
    </row>
    <row r="35" spans="4:23" x14ac:dyDescent="0.25">
      <c r="D35" s="10"/>
      <c r="U35" s="377"/>
    </row>
    <row r="36" spans="4:23" x14ac:dyDescent="0.25">
      <c r="D36" s="10"/>
      <c r="U36" s="377"/>
    </row>
    <row r="37" spans="4:23" x14ac:dyDescent="0.25">
      <c r="D37" s="10"/>
      <c r="U37" s="377"/>
    </row>
    <row r="38" spans="4:23" x14ac:dyDescent="0.25">
      <c r="D38" s="10"/>
      <c r="U38" s="377"/>
    </row>
    <row r="39" spans="4:23" x14ac:dyDescent="0.25">
      <c r="D39" s="10"/>
      <c r="U39" s="377"/>
    </row>
    <row r="40" spans="4:23" x14ac:dyDescent="0.25">
      <c r="D40" s="10"/>
      <c r="U40" s="377"/>
    </row>
    <row r="41" spans="4:23" x14ac:dyDescent="0.25">
      <c r="D41" s="10"/>
      <c r="U41" s="377"/>
    </row>
    <row r="42" spans="4:23" x14ac:dyDescent="0.25">
      <c r="D42" s="10"/>
      <c r="U42" s="377"/>
    </row>
    <row r="43" spans="4:23" x14ac:dyDescent="0.25">
      <c r="D43" s="10"/>
      <c r="U43" s="377"/>
    </row>
    <row r="44" spans="4:23" x14ac:dyDescent="0.25">
      <c r="D44" s="10"/>
      <c r="U44" s="377"/>
    </row>
    <row r="45" spans="4:23" x14ac:dyDescent="0.25">
      <c r="D45" s="10"/>
      <c r="U45" s="377"/>
    </row>
    <row r="46" spans="4:23" s="219" customFormat="1" ht="27" customHeight="1" x14ac:dyDescent="0.25">
      <c r="D46" s="586" t="s">
        <v>35</v>
      </c>
      <c r="U46" s="381"/>
      <c r="W46" s="586" t="s">
        <v>215</v>
      </c>
    </row>
    <row r="47" spans="4:23" x14ac:dyDescent="0.25">
      <c r="U47" s="377"/>
    </row>
    <row r="48" spans="4:23" x14ac:dyDescent="0.25">
      <c r="U48" s="377"/>
    </row>
    <row r="49" spans="21:21" x14ac:dyDescent="0.25">
      <c r="U49" s="377"/>
    </row>
    <row r="50" spans="21:21" x14ac:dyDescent="0.25">
      <c r="U50" s="377"/>
    </row>
    <row r="51" spans="21:21" x14ac:dyDescent="0.25">
      <c r="U51" s="377"/>
    </row>
    <row r="52" spans="21:21" x14ac:dyDescent="0.25">
      <c r="U52" s="377"/>
    </row>
    <row r="53" spans="21:21" x14ac:dyDescent="0.25">
      <c r="U53" s="377"/>
    </row>
    <row r="54" spans="21:21" x14ac:dyDescent="0.25">
      <c r="U54" s="377"/>
    </row>
    <row r="55" spans="21:21" x14ac:dyDescent="0.25">
      <c r="U55" s="377"/>
    </row>
    <row r="56" spans="21:21" x14ac:dyDescent="0.25">
      <c r="U56" s="377"/>
    </row>
    <row r="57" spans="21:21" ht="15" customHeight="1" x14ac:dyDescent="0.25">
      <c r="U57" s="377"/>
    </row>
    <row r="58" spans="21:21" ht="15" customHeight="1" x14ac:dyDescent="0.25">
      <c r="U58" s="377"/>
    </row>
    <row r="59" spans="21:21" ht="15" customHeight="1" x14ac:dyDescent="0.25">
      <c r="U59" s="377"/>
    </row>
    <row r="60" spans="21:21" x14ac:dyDescent="0.25">
      <c r="U60" s="377"/>
    </row>
    <row r="61" spans="21:21" x14ac:dyDescent="0.25">
      <c r="U61" s="377"/>
    </row>
    <row r="62" spans="21:21" x14ac:dyDescent="0.25">
      <c r="U62" s="377"/>
    </row>
    <row r="63" spans="21:21" x14ac:dyDescent="0.25">
      <c r="U63" s="377"/>
    </row>
    <row r="64" spans="21:21" x14ac:dyDescent="0.25">
      <c r="U64" s="377"/>
    </row>
    <row r="65" spans="1:40" x14ac:dyDescent="0.25">
      <c r="U65" s="377"/>
    </row>
    <row r="66" spans="1:40" x14ac:dyDescent="0.25">
      <c r="U66" s="377"/>
    </row>
    <row r="67" spans="1:40" x14ac:dyDescent="0.25">
      <c r="U67" s="377"/>
    </row>
    <row r="68" spans="1:40" x14ac:dyDescent="0.25">
      <c r="U68" s="377"/>
    </row>
    <row r="69" spans="1:40" x14ac:dyDescent="0.25">
      <c r="U69" s="377"/>
    </row>
    <row r="70" spans="1:40" x14ac:dyDescent="0.25">
      <c r="U70" s="377"/>
    </row>
    <row r="71" spans="1:40" x14ac:dyDescent="0.25">
      <c r="U71" s="377"/>
    </row>
    <row r="72" spans="1:40" x14ac:dyDescent="0.25">
      <c r="U72" s="377"/>
    </row>
    <row r="73" spans="1:40" x14ac:dyDescent="0.25">
      <c r="U73" s="377"/>
    </row>
    <row r="74" spans="1:40" x14ac:dyDescent="0.25">
      <c r="U74" s="377"/>
    </row>
    <row r="75" spans="1:40" x14ac:dyDescent="0.25">
      <c r="U75" s="377"/>
    </row>
    <row r="76" spans="1:40" s="351" customFormat="1" ht="45" customHeight="1" x14ac:dyDescent="0.45">
      <c r="D76" s="349" t="s">
        <v>131</v>
      </c>
      <c r="U76" s="382"/>
      <c r="W76" s="349" t="s">
        <v>278</v>
      </c>
      <c r="AI76" s="352"/>
      <c r="AJ76" s="352"/>
      <c r="AK76" s="352"/>
      <c r="AL76" s="352"/>
    </row>
    <row r="77" spans="1:40" s="353" customFormat="1" ht="49.5" customHeight="1" x14ac:dyDescent="0.25">
      <c r="A77" s="583"/>
      <c r="B77" s="583"/>
      <c r="C77" s="583"/>
      <c r="D77" s="676" t="s">
        <v>286</v>
      </c>
      <c r="E77" s="676"/>
      <c r="F77" s="676"/>
      <c r="G77" s="676"/>
      <c r="H77" s="676"/>
      <c r="I77" s="676"/>
      <c r="J77" s="676"/>
      <c r="K77" s="676"/>
      <c r="L77" s="583"/>
      <c r="M77" s="583"/>
      <c r="N77" s="583"/>
      <c r="O77" s="583"/>
      <c r="P77" s="583"/>
      <c r="Q77" s="583"/>
      <c r="R77" s="583"/>
      <c r="S77" s="583"/>
      <c r="T77" s="583"/>
      <c r="U77" s="584"/>
      <c r="W77" s="676" t="s">
        <v>311</v>
      </c>
      <c r="X77" s="676"/>
      <c r="Y77" s="676"/>
      <c r="Z77" s="676"/>
      <c r="AA77" s="676"/>
      <c r="AB77" s="676"/>
      <c r="AC77" s="676"/>
      <c r="AD77" s="676"/>
      <c r="AE77" s="583"/>
      <c r="AF77" s="583"/>
      <c r="AG77" s="583"/>
      <c r="AH77" s="583"/>
      <c r="AI77" s="583"/>
      <c r="AJ77" s="583"/>
      <c r="AK77" s="583"/>
      <c r="AL77" s="583"/>
      <c r="AM77" s="583"/>
      <c r="AN77" s="584"/>
    </row>
    <row r="78" spans="1:40" x14ac:dyDescent="0.25">
      <c r="A78" s="412"/>
      <c r="B78" s="413"/>
      <c r="U78" s="377"/>
    </row>
    <row r="79" spans="1:40" ht="33" customHeight="1" x14ac:dyDescent="0.25">
      <c r="A79" s="412"/>
      <c r="B79" s="413"/>
      <c r="D79" s="684" t="str">
        <f>"Losun árið "&amp;$B$2&amp;" í samanburði við losun fyrri ára"</f>
        <v>Losun árið 2023 í samanburði við losun fyrri ára</v>
      </c>
      <c r="E79" s="684"/>
      <c r="F79" s="684"/>
      <c r="G79" s="684"/>
      <c r="H79" s="684"/>
      <c r="I79" s="684"/>
      <c r="J79" s="684"/>
      <c r="U79" s="377"/>
      <c r="W79" s="684" t="str">
        <f>"Emissions in "&amp;$B$2&amp;" compared to emissions in previous years"</f>
        <v>Emissions in 2023 compared to emissions in previous years</v>
      </c>
      <c r="X79" s="684"/>
      <c r="Y79" s="684"/>
      <c r="Z79" s="684"/>
      <c r="AA79" s="684"/>
      <c r="AB79" s="684"/>
      <c r="AC79" s="684"/>
    </row>
    <row r="80" spans="1:40" ht="21" customHeight="1" x14ac:dyDescent="0.25">
      <c r="A80" s="412"/>
      <c r="B80" s="413"/>
      <c r="D80" s="108"/>
      <c r="E80" s="681" t="str">
        <f>"Losun "&amp;$B$2</f>
        <v>Losun 2023</v>
      </c>
      <c r="F80" s="682"/>
      <c r="G80" s="681" t="str">
        <f>"Breyting frá "&amp;$B$3</f>
        <v>Breyting frá 2022</v>
      </c>
      <c r="H80" s="682"/>
      <c r="I80" s="681" t="str">
        <f>"Breyting frá "&amp;$B$5</f>
        <v>Breyting frá 2005</v>
      </c>
      <c r="J80" s="683"/>
      <c r="K80" s="706"/>
      <c r="L80" s="706"/>
      <c r="M80" s="706"/>
      <c r="N80" s="56"/>
      <c r="O80" s="56"/>
      <c r="P80" s="58"/>
      <c r="Q80" s="56"/>
      <c r="R80" s="56"/>
      <c r="S80" s="57"/>
      <c r="U80" s="377"/>
      <c r="W80" s="108"/>
      <c r="X80" s="690" t="str">
        <f>"Emissions in "&amp;$B$2</f>
        <v>Emissions in 2023</v>
      </c>
      <c r="Y80" s="691"/>
      <c r="Z80" s="690" t="str">
        <f>"Change from "&amp;$B$3</f>
        <v>Change from 2022</v>
      </c>
      <c r="AA80" s="691"/>
      <c r="AB80" s="690" t="str">
        <f>"Change from "&amp;$B$5</f>
        <v>Change from 2005</v>
      </c>
      <c r="AC80" s="692"/>
    </row>
    <row r="81" spans="1:31" ht="21" customHeight="1" x14ac:dyDescent="0.25">
      <c r="A81" s="412"/>
      <c r="B81" s="413"/>
      <c r="D81" s="108"/>
      <c r="E81" s="36" t="s">
        <v>5</v>
      </c>
      <c r="F81" s="96" t="s">
        <v>4</v>
      </c>
      <c r="G81" s="284" t="s">
        <v>5</v>
      </c>
      <c r="H81" s="96" t="s">
        <v>4</v>
      </c>
      <c r="I81" s="36" t="s">
        <v>5</v>
      </c>
      <c r="J81" s="36" t="s">
        <v>4</v>
      </c>
      <c r="K81" s="685"/>
      <c r="L81" s="685"/>
      <c r="M81" s="63"/>
      <c r="N81" s="56"/>
      <c r="O81" s="56"/>
      <c r="P81" s="58"/>
      <c r="Q81" s="56"/>
      <c r="R81" s="56"/>
      <c r="S81" s="57"/>
      <c r="U81" s="377"/>
      <c r="W81" s="108"/>
      <c r="X81" s="591" t="s">
        <v>216</v>
      </c>
      <c r="Y81" s="592" t="s">
        <v>4</v>
      </c>
      <c r="Z81" s="36" t="s">
        <v>216</v>
      </c>
      <c r="AA81" s="96" t="s">
        <v>4</v>
      </c>
      <c r="AB81" s="36" t="s">
        <v>216</v>
      </c>
      <c r="AC81" s="36" t="s">
        <v>4</v>
      </c>
    </row>
    <row r="82" spans="1:31" ht="21" customHeight="1" x14ac:dyDescent="0.25">
      <c r="A82" s="216" t="s">
        <v>299</v>
      </c>
      <c r="B82" s="255" t="s">
        <v>56</v>
      </c>
      <c r="D82" s="49" t="s">
        <v>36</v>
      </c>
      <c r="E82" s="69" cm="1">
        <f t="array" ref="E82">INDEX('Talnagögn | Numerical Data'!$1:$1048576, _xlfn.XMATCH($A82,'Talnagögn | Numerical Data'!$B:$B), _xlfn.XMATCH($B$2,'Talnagögn | Numerical Data'!$131:$131))</f>
        <v>1746.627912740661</v>
      </c>
      <c r="F82" s="126">
        <f>$E82/$E$86</f>
        <v>0.62098124649830599</v>
      </c>
      <c r="G82" s="69" cm="1">
        <f t="array" ref="G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_xlfn.XMATCH($B$3,'Talnagögn | Numerical Data'!$131:$131))</f>
        <v>-28.715955962400358</v>
      </c>
      <c r="H82" s="119" cm="1">
        <f t="array" ref="H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_xlfn.XMATCH($B$3,'Talnagögn | Numerical Data'!$131:$131))-1</f>
        <v>-1.6174869820221427E-2</v>
      </c>
      <c r="I82" s="69" cm="1">
        <f t="array" ref="I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_xlfn.XMATCH($B$5,'Talnagögn | Numerical Data'!$131:$131))</f>
        <v>-354.6344334076216</v>
      </c>
      <c r="J82" s="72" cm="1">
        <f t="array" ref="J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_xlfn.XMATCH($B$5,'Talnagögn | Numerical Data'!$131:$131))-1</f>
        <v>-0.16877208791071896</v>
      </c>
      <c r="K82" s="677"/>
      <c r="L82" s="677"/>
      <c r="M82" s="61"/>
      <c r="N82" s="28"/>
      <c r="O82" s="28"/>
      <c r="P82" s="28"/>
      <c r="Q82" s="28"/>
      <c r="R82" s="28"/>
      <c r="S82" s="57"/>
      <c r="U82" s="377"/>
      <c r="W82" s="418" t="s">
        <v>217</v>
      </c>
      <c r="X82" s="69" cm="1">
        <f t="array" ref="X82">INDEX('Talnagögn | Numerical Data'!$1:$1048576, _xlfn.XMATCH($A82,'Talnagögn | Numerical Data'!$B:$B), _xlfn.XMATCH($B$2,'Talnagögn | Numerical Data'!$131:$131))</f>
        <v>1746.627912740661</v>
      </c>
      <c r="Y82" s="126">
        <f>$E82/$E$86</f>
        <v>0.62098124649830599</v>
      </c>
      <c r="Z82" s="69" cm="1">
        <f t="array" ref="Z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_xlfn.XMATCH($B$3,'Talnagögn | Numerical Data'!$131:$131))</f>
        <v>-28.715955962400358</v>
      </c>
      <c r="AA82" s="119" cm="1">
        <f t="array" ref="AA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_xlfn.XMATCH($B$3,'Talnagögn | Numerical Data'!$131:$131))-1</f>
        <v>-1.6174869820221427E-2</v>
      </c>
      <c r="AB82" s="69" cm="1">
        <f t="array" ref="AB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_xlfn.XMATCH($B$5,'Talnagögn | Numerical Data'!$131:$131))</f>
        <v>-354.6344334076216</v>
      </c>
      <c r="AC82" s="72" cm="1">
        <f t="array" ref="AC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_xlfn.XMATCH($B$5,'Talnagögn | Numerical Data'!$131:$131))-1</f>
        <v>-0.16877208791071896</v>
      </c>
      <c r="AD82" s="677"/>
      <c r="AE82" s="677"/>
    </row>
    <row r="83" spans="1:31" ht="21" customHeight="1" x14ac:dyDescent="0.25">
      <c r="A83" s="216" t="s">
        <v>300</v>
      </c>
      <c r="B83" s="255" t="s">
        <v>56</v>
      </c>
      <c r="D83" s="49" t="s">
        <v>37</v>
      </c>
      <c r="E83" s="69" cm="1">
        <f t="array" ref="E83">INDEX('Talnagögn | Numerical Data'!$1:$1048576, _xlfn.XMATCH($A83,'Talnagögn | Numerical Data'!$B:$B), _xlfn.XMATCH($B$2,'Talnagögn | Numerical Data'!$131:$131))</f>
        <v>138.99420109361745</v>
      </c>
      <c r="F83" s="98">
        <f t="shared" ref="F83:F86" si="0">$E83/$E$86</f>
        <v>4.9416817183298087E-2</v>
      </c>
      <c r="G83" s="64" cm="1">
        <f t="array" ref="G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_xlfn.XMATCH($B$3,'Talnagögn | Numerical Data'!$131:$131))</f>
        <v>-9.7101762728136691</v>
      </c>
      <c r="H83" s="119" cm="1">
        <f t="array" ref="H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_xlfn.XMATCH($B$3,'Talnagögn | Numerical Data'!$131:$131))-1</f>
        <v>-6.5298523451574386E-2</v>
      </c>
      <c r="I83" s="69" cm="1">
        <f t="array" ref="I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_xlfn.XMATCH($B$5,'Talnagögn | Numerical Data'!$131:$131))</f>
        <v>10.655380239133478</v>
      </c>
      <c r="J83" s="61" cm="1">
        <f t="array" ref="J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_xlfn.XMATCH($B$5,'Talnagögn | Numerical Data'!$131:$131))-1</f>
        <v>8.3025386770656073E-2</v>
      </c>
      <c r="K83" s="677"/>
      <c r="L83" s="677"/>
      <c r="M83" s="58"/>
      <c r="N83" s="28"/>
      <c r="O83" s="28"/>
      <c r="P83" s="28"/>
      <c r="Q83" s="28"/>
      <c r="R83" s="28"/>
      <c r="S83" s="57"/>
      <c r="U83" s="377"/>
      <c r="W83" s="418" t="s">
        <v>218</v>
      </c>
      <c r="X83" s="69" cm="1">
        <f t="array" ref="X83">INDEX('Talnagögn | Numerical Data'!$1:$1048576, _xlfn.XMATCH($A83,'Talnagögn | Numerical Data'!$B:$B), _xlfn.XMATCH($B$2,'Talnagögn | Numerical Data'!$131:$131))</f>
        <v>138.99420109361745</v>
      </c>
      <c r="Y83" s="98">
        <f t="shared" ref="Y83:Y86" si="1">$E83/$E$86</f>
        <v>4.9416817183298087E-2</v>
      </c>
      <c r="Z83" s="64" cm="1">
        <f t="array" ref="Z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_xlfn.XMATCH($B$3,'Talnagögn | Numerical Data'!$131:$131))</f>
        <v>-9.7101762728136691</v>
      </c>
      <c r="AA83" s="119" cm="1">
        <f t="array" ref="AA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_xlfn.XMATCH($B$3,'Talnagögn | Numerical Data'!$131:$131))-1</f>
        <v>-6.5298523451574386E-2</v>
      </c>
      <c r="AB83" s="69" cm="1">
        <f t="array" ref="AB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_xlfn.XMATCH($B$5,'Talnagögn | Numerical Data'!$131:$131))</f>
        <v>10.655380239133478</v>
      </c>
      <c r="AC83" s="61" cm="1">
        <f t="array" ref="AC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_xlfn.XMATCH($B$5,'Talnagögn | Numerical Data'!$131:$131))-1</f>
        <v>8.3025386770656073E-2</v>
      </c>
      <c r="AD83" s="677"/>
      <c r="AE83" s="677"/>
    </row>
    <row r="84" spans="1:31" ht="21" customHeight="1" x14ac:dyDescent="0.25">
      <c r="A84" s="216" t="s">
        <v>301</v>
      </c>
      <c r="B84" s="255" t="s">
        <v>56</v>
      </c>
      <c r="D84" s="49" t="s">
        <v>2</v>
      </c>
      <c r="E84" s="69" cm="1">
        <f t="array" ref="E84">INDEX('Talnagögn | Numerical Data'!$1:$1048576, _xlfn.XMATCH($A84,'Talnagögn | Numerical Data'!$B:$B), _xlfn.XMATCH($B$2,'Talnagögn | Numerical Data'!$131:$131))</f>
        <v>693.89491902799296</v>
      </c>
      <c r="F84" s="76">
        <f t="shared" si="0"/>
        <v>0.24670150328739393</v>
      </c>
      <c r="G84" s="69" cm="1">
        <f t="array" ref="G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_xlfn.XMATCH($B$3,'Talnagögn | Numerical Data'!$131:$131))</f>
        <v>-19.387103879102824</v>
      </c>
      <c r="H84" s="119" cm="1">
        <f t="array" ref="H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_xlfn.XMATCH($B$3,'Talnagögn | Numerical Data'!$131:$131))-1</f>
        <v>-2.7180138089121564E-2</v>
      </c>
      <c r="I84" s="69" cm="1">
        <f t="array" ref="I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_xlfn.XMATCH($B$5,'Talnagögn | Numerical Data'!$131:$131))</f>
        <v>-17.238067864133882</v>
      </c>
      <c r="J84" s="61" cm="1">
        <f t="array" ref="J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_xlfn.XMATCH($B$5,'Talnagögn | Numerical Data'!$131:$131))-1</f>
        <v>-2.4240287234416735E-2</v>
      </c>
      <c r="K84" s="677"/>
      <c r="L84" s="677"/>
      <c r="M84" s="61"/>
      <c r="N84" s="28"/>
      <c r="O84" s="28"/>
      <c r="P84" s="28"/>
      <c r="Q84" s="28"/>
      <c r="R84" s="28"/>
      <c r="S84" s="57"/>
      <c r="U84" s="377"/>
      <c r="W84" s="418" t="s">
        <v>157</v>
      </c>
      <c r="X84" s="69" cm="1">
        <f t="array" ref="X84">INDEX('Talnagögn | Numerical Data'!$1:$1048576, _xlfn.XMATCH($A84,'Talnagögn | Numerical Data'!$B:$B), _xlfn.XMATCH($B$2,'Talnagögn | Numerical Data'!$131:$131))</f>
        <v>693.89491902799296</v>
      </c>
      <c r="Y84" s="76">
        <f t="shared" si="1"/>
        <v>0.24670150328739393</v>
      </c>
      <c r="Z84" s="69" cm="1">
        <f t="array" ref="Z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_xlfn.XMATCH($B$3,'Talnagögn | Numerical Data'!$131:$131))</f>
        <v>-19.387103879102824</v>
      </c>
      <c r="AA84" s="119" cm="1">
        <f t="array" ref="AA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_xlfn.XMATCH($B$3,'Talnagögn | Numerical Data'!$131:$131))-1</f>
        <v>-2.7180138089121564E-2</v>
      </c>
      <c r="AB84" s="69" cm="1">
        <f t="array" ref="AB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_xlfn.XMATCH($B$5,'Talnagögn | Numerical Data'!$131:$131))</f>
        <v>-17.238067864133882</v>
      </c>
      <c r="AC84" s="61" cm="1">
        <f t="array" ref="AC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_xlfn.XMATCH($B$5,'Talnagögn | Numerical Data'!$131:$131))-1</f>
        <v>-2.4240287234416735E-2</v>
      </c>
      <c r="AD84" s="677"/>
      <c r="AE84" s="677"/>
    </row>
    <row r="85" spans="1:31" ht="21" customHeight="1" x14ac:dyDescent="0.25">
      <c r="A85" s="216" t="s">
        <v>302</v>
      </c>
      <c r="B85" s="255" t="s">
        <v>56</v>
      </c>
      <c r="C85" s="255" t="s">
        <v>56</v>
      </c>
      <c r="D85" s="49" t="s">
        <v>1</v>
      </c>
      <c r="E85" s="186" cm="1">
        <f t="array" ref="E85">INDEX('Talnagögn | Numerical Data'!$1:$1048576, _xlfn.XMATCH($A85,'Talnagögn | Numerical Data'!$B:$B), _xlfn.XMATCH($B$2,'Talnagögn | Numerical Data'!$131:$131))</f>
        <v>233.17458725375354</v>
      </c>
      <c r="F85" s="98">
        <f t="shared" si="0"/>
        <v>8.2900911400963812E-2</v>
      </c>
      <c r="G85" s="186" cm="1">
        <f t="array" ref="G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_xlfn.XMATCH($B$3,'Talnagögn | Numerical Data'!$131:$131))</f>
        <v>-13.359158480900049</v>
      </c>
      <c r="H85" s="120" cm="1">
        <f t="array" ref="H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_xlfn.XMATCH($B$3,'Talnagögn | Numerical Data'!$131:$131))-1</f>
        <v>-5.4187950785766326E-2</v>
      </c>
      <c r="I85" s="70" cm="1">
        <f t="array" ref="I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_xlfn.XMATCH($B$5,'Talnagögn | Numerical Data'!$131:$131))</f>
        <v>-76.280499096175959</v>
      </c>
      <c r="J85" s="75" cm="1">
        <f t="array" ref="J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_xlfn.XMATCH($B$5,'Talnagögn | Numerical Data'!$131:$131))-1</f>
        <v>-0.24649941933712005</v>
      </c>
      <c r="K85" s="677"/>
      <c r="L85" s="677"/>
      <c r="M85" s="61"/>
      <c r="N85" s="28"/>
      <c r="O85" s="28"/>
      <c r="P85" s="28"/>
      <c r="Q85" s="28"/>
      <c r="R85" s="28"/>
      <c r="S85" s="57"/>
      <c r="U85" s="377"/>
      <c r="W85" s="418" t="s">
        <v>158</v>
      </c>
      <c r="X85" s="186" cm="1">
        <f t="array" ref="X85">INDEX('Talnagögn | Numerical Data'!$1:$1048576, _xlfn.XMATCH($A85,'Talnagögn | Numerical Data'!$B:$B), _xlfn.XMATCH($B$2,'Talnagögn | Numerical Data'!$131:$131))</f>
        <v>233.17458725375354</v>
      </c>
      <c r="Y85" s="98">
        <f t="shared" si="1"/>
        <v>8.2900911400963812E-2</v>
      </c>
      <c r="Z85" s="186" cm="1">
        <f t="array" ref="Z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_xlfn.XMATCH($B$3,'Talnagögn | Numerical Data'!$131:$131))</f>
        <v>-13.359158480900049</v>
      </c>
      <c r="AA85" s="120" cm="1">
        <f t="array" ref="AA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_xlfn.XMATCH($B$3,'Talnagögn | Numerical Data'!$131:$131))-1</f>
        <v>-5.4187950785766326E-2</v>
      </c>
      <c r="AB85" s="70" cm="1">
        <f t="array" ref="AB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_xlfn.XMATCH($B$5,'Talnagögn | Numerical Data'!$131:$131))</f>
        <v>-76.280499096175959</v>
      </c>
      <c r="AC85" s="75" cm="1">
        <f t="array" ref="AC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_xlfn.XMATCH($B$5,'Talnagögn | Numerical Data'!$131:$131))-1</f>
        <v>-0.24649941933712005</v>
      </c>
      <c r="AD85" s="677"/>
      <c r="AE85" s="677"/>
    </row>
    <row r="86" spans="1:31" s="16" customFormat="1" ht="29.1" customHeight="1" x14ac:dyDescent="0.25">
      <c r="A86" s="216" t="s">
        <v>137</v>
      </c>
      <c r="B86" s="262" t="s">
        <v>56</v>
      </c>
      <c r="C86" s="262"/>
      <c r="D86" s="59" t="s">
        <v>38</v>
      </c>
      <c r="E86" s="97" cm="1">
        <f t="array" ref="E86">INDEX('Talnagögn | Numerical Data'!$1:$1048576, _xlfn.XMATCH($A86,'Talnagögn | Numerical Data'!$A:$A), _xlfn.XMATCH($B$2,'Talnagögn | Numerical Data'!$131:$131))</f>
        <v>2812.6902746094856</v>
      </c>
      <c r="F86" s="78">
        <f t="shared" si="0"/>
        <v>1</v>
      </c>
      <c r="G86" s="97" cm="1">
        <f t="array" ref="G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_xlfn.XMATCH($B$3,'Talnagögn | Numerical Data'!$131:$131))</f>
        <v>-71.175484421990404</v>
      </c>
      <c r="H86" s="85" cm="1">
        <f t="array" ref="H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_xlfn.XMATCH($B$3,'Talnagögn | Numerical Data'!$131:$131))-1</f>
        <v>-2.4680581680713964E-2</v>
      </c>
      <c r="I86" s="97" cm="1">
        <f t="array" ref="I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_xlfn.XMATCH($B$5,'Talnagögn | Numerical Data'!$131:$131))</f>
        <v>-437.49896563533775</v>
      </c>
      <c r="J86" s="656" cm="1">
        <f t="array" ref="J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_xlfn.XMATCH($B$5,'Talnagögn | Numerical Data'!$131:$131))-1</f>
        <v>-0.13460722847091289</v>
      </c>
      <c r="K86" s="56"/>
      <c r="L86" s="56"/>
      <c r="M86" s="61"/>
      <c r="N86" s="28"/>
      <c r="O86" s="28"/>
      <c r="P86" s="28"/>
      <c r="Q86" s="28"/>
      <c r="R86" s="28"/>
      <c r="S86" s="57"/>
      <c r="U86" s="383"/>
      <c r="W86" s="419" t="s">
        <v>219</v>
      </c>
      <c r="X86" s="97" cm="1">
        <f t="array" ref="X86">INDEX('Talnagögn | Numerical Data'!$1:$1048576, _xlfn.XMATCH($A86,'Talnagögn | Numerical Data'!$A:$A), _xlfn.XMATCH($B$2,'Talnagögn | Numerical Data'!$131:$131))</f>
        <v>2812.6902746094856</v>
      </c>
      <c r="Y86" s="78">
        <f t="shared" si="1"/>
        <v>1</v>
      </c>
      <c r="Z86" s="97" cm="1">
        <f t="array" ref="Z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_xlfn.XMATCH($B$3,'Talnagögn | Numerical Data'!$131:$131))</f>
        <v>-71.175484421990404</v>
      </c>
      <c r="AA86" s="85" cm="1">
        <f t="array" ref="AA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_xlfn.XMATCH($B$3,'Talnagögn | Numerical Data'!$131:$131))-1</f>
        <v>-2.4680581680713964E-2</v>
      </c>
      <c r="AB86" s="97" cm="1">
        <f t="array" ref="AB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_xlfn.XMATCH($B$5,'Talnagögn | Numerical Data'!$131:$131))</f>
        <v>-437.49896563533775</v>
      </c>
      <c r="AC86" s="656" cm="1">
        <f t="array" ref="AC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_xlfn.XMATCH($B$5,'Talnagögn | Numerical Data'!$131:$131))-1</f>
        <v>-0.13460722847091289</v>
      </c>
      <c r="AD86" s="56"/>
      <c r="AE86" s="56"/>
    </row>
    <row r="87" spans="1:31" s="16" customFormat="1" ht="29.25" customHeight="1" x14ac:dyDescent="0.25">
      <c r="A87" s="259" t="s">
        <v>111</v>
      </c>
      <c r="B87" s="262" t="s">
        <v>56</v>
      </c>
      <c r="C87" s="262"/>
      <c r="D87" s="68" t="s">
        <v>39</v>
      </c>
      <c r="E87" s="90" t="s">
        <v>294</v>
      </c>
      <c r="F87" s="79" t="s">
        <v>294</v>
      </c>
      <c r="G87" s="90" t="s">
        <v>294</v>
      </c>
      <c r="H87" s="79" t="s">
        <v>294</v>
      </c>
      <c r="I87" s="184" cm="1">
        <f t="array" ref="I87">INDEX('Talnagögn | Numerical Data'!$1:$1048576,_xlfn.XMATCH($A86,'Talnagögn | Numerical Data'!$A:$A),_xlfn.XMATCH($B$2,'Talnagögn | Numerical Data'!$131:$131))-'Talnagögn | Numerical Data'!$H$139</f>
        <v>-296.63872539051454</v>
      </c>
      <c r="J87" s="190" cm="1">
        <f t="array" ref="J87">INDEX('Talnagögn | Numerical Data'!$1:$1048576,_xlfn.XMATCH($A86,'Talnagögn | Numerical Data'!$A:$A),_xlfn.XMATCH($B$2,'Talnagögn | Numerical Data'!$131:$131))/'Talnagögn | Numerical Data'!$H$139-1</f>
        <v>-9.5402810506869606E-2</v>
      </c>
      <c r="K87" s="28"/>
      <c r="L87" s="28"/>
      <c r="M87" s="61"/>
      <c r="N87" s="28"/>
      <c r="O87" s="28"/>
      <c r="P87" s="28"/>
      <c r="Q87" s="28"/>
      <c r="R87" s="28"/>
      <c r="S87" s="57"/>
      <c r="U87" s="383"/>
      <c r="W87" s="68" t="s">
        <v>220</v>
      </c>
      <c r="X87" s="90" t="s">
        <v>294</v>
      </c>
      <c r="Y87" s="79" t="s">
        <v>294</v>
      </c>
      <c r="Z87" s="90" t="s">
        <v>294</v>
      </c>
      <c r="AA87" s="79" t="s">
        <v>294</v>
      </c>
      <c r="AB87" s="184" cm="1">
        <f t="array" ref="AB87">INDEX('Talnagögn | Numerical Data'!$1:$1048576,_xlfn.XMATCH($A86,'Talnagögn | Numerical Data'!$A:$A),_xlfn.XMATCH($B$2,'Talnagögn | Numerical Data'!$131:$131))-'Talnagögn | Numerical Data'!$H$139</f>
        <v>-296.63872539051454</v>
      </c>
      <c r="AC87" s="190" cm="1">
        <f t="array" ref="AC87">INDEX('Talnagögn | Numerical Data'!$1:$1048576,_xlfn.XMATCH($A86,'Talnagögn | Numerical Data'!$A:$A),_xlfn.XMATCH($B$2,'Talnagögn | Numerical Data'!$131:$131))/'Talnagögn | Numerical Data'!$H$139-1</f>
        <v>-9.5402810506869606E-2</v>
      </c>
      <c r="AD87" s="28"/>
      <c r="AE87" s="28"/>
    </row>
    <row r="88" spans="1:31" x14ac:dyDescent="0.25">
      <c r="D88" s="40" t="s">
        <v>42</v>
      </c>
      <c r="E88" s="66"/>
      <c r="F88" s="67"/>
      <c r="G88" s="16"/>
      <c r="H88" s="56"/>
      <c r="I88" s="56"/>
      <c r="J88" s="61"/>
      <c r="K88" s="28"/>
      <c r="L88" s="28"/>
      <c r="M88" s="28"/>
      <c r="N88" s="28"/>
      <c r="O88" s="28"/>
      <c r="P88" s="61"/>
      <c r="Q88" s="28"/>
      <c r="R88" s="28"/>
      <c r="S88" s="28"/>
      <c r="T88" s="28"/>
      <c r="U88" s="379"/>
      <c r="V88" s="57"/>
      <c r="W88" s="40" t="s">
        <v>221</v>
      </c>
      <c r="X88" s="66"/>
      <c r="Y88" s="67"/>
      <c r="Z88" s="16"/>
      <c r="AA88" s="56"/>
      <c r="AB88" s="56"/>
      <c r="AC88" s="61"/>
    </row>
    <row r="89" spans="1:31" x14ac:dyDescent="0.25">
      <c r="D89" s="40" t="s">
        <v>306</v>
      </c>
      <c r="E89" s="66"/>
      <c r="F89" s="67"/>
      <c r="G89" s="16"/>
      <c r="H89" s="56"/>
      <c r="I89" s="56"/>
      <c r="J89" s="61"/>
      <c r="K89" s="28"/>
      <c r="L89" s="28"/>
      <c r="M89" s="28"/>
      <c r="N89" s="28"/>
      <c r="O89" s="28"/>
      <c r="P89" s="61"/>
      <c r="Q89" s="28"/>
      <c r="R89" s="28"/>
      <c r="S89" s="28"/>
      <c r="T89" s="28"/>
      <c r="U89" s="379"/>
      <c r="V89" s="57"/>
      <c r="W89" s="40" t="s">
        <v>222</v>
      </c>
      <c r="X89" s="66"/>
      <c r="Y89" s="67"/>
      <c r="Z89" s="16"/>
      <c r="AA89" s="56"/>
      <c r="AB89" s="56"/>
      <c r="AC89" s="61"/>
    </row>
    <row r="90" spans="1:31" x14ac:dyDescent="0.25">
      <c r="D90" s="40" t="s">
        <v>43</v>
      </c>
      <c r="E90" s="66"/>
      <c r="F90" s="67"/>
      <c r="G90" s="16"/>
      <c r="H90" s="56"/>
      <c r="I90" s="56"/>
      <c r="J90" s="61"/>
      <c r="K90" s="28"/>
      <c r="L90" s="28"/>
      <c r="M90" s="28"/>
      <c r="N90" s="28"/>
      <c r="O90" s="28"/>
      <c r="P90" s="61"/>
      <c r="Q90" s="28"/>
      <c r="R90" s="28"/>
      <c r="S90" s="28"/>
      <c r="T90" s="28"/>
      <c r="U90" s="379"/>
      <c r="V90" s="57"/>
      <c r="W90" s="40" t="s">
        <v>223</v>
      </c>
      <c r="X90" s="66"/>
      <c r="Y90" s="67"/>
      <c r="Z90" s="16"/>
      <c r="AA90" s="56"/>
      <c r="AB90" s="56"/>
      <c r="AC90" s="61"/>
    </row>
    <row r="91" spans="1:31" x14ac:dyDescent="0.25">
      <c r="D91" s="40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383"/>
      <c r="V91" s="16"/>
    </row>
    <row r="92" spans="1:31" ht="15" customHeight="1" x14ac:dyDescent="0.25">
      <c r="D92" s="40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383"/>
      <c r="V92" s="16"/>
    </row>
    <row r="93" spans="1:31" ht="15" customHeight="1" x14ac:dyDescent="0.25">
      <c r="D93" s="40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383"/>
      <c r="V93" s="16"/>
    </row>
    <row r="94" spans="1:31" ht="15" customHeight="1" x14ac:dyDescent="0.25">
      <c r="D94" s="40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383"/>
      <c r="V94" s="16"/>
    </row>
    <row r="95" spans="1:31" x14ac:dyDescent="0.25">
      <c r="D95" s="40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383"/>
      <c r="V95" s="16"/>
    </row>
    <row r="96" spans="1:31" x14ac:dyDescent="0.25">
      <c r="D96" s="40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383"/>
      <c r="V96" s="16"/>
    </row>
    <row r="97" spans="4:22" x14ac:dyDescent="0.25">
      <c r="D97" s="40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383"/>
      <c r="V97" s="16"/>
    </row>
    <row r="98" spans="4:22" x14ac:dyDescent="0.25">
      <c r="D98" s="40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383"/>
      <c r="V98" s="16"/>
    </row>
    <row r="99" spans="4:22" x14ac:dyDescent="0.25">
      <c r="D99" s="40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383"/>
      <c r="V99" s="16"/>
    </row>
    <row r="100" spans="4:22" x14ac:dyDescent="0.25">
      <c r="D100" s="40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383"/>
      <c r="V100" s="16"/>
    </row>
    <row r="101" spans="4:22" x14ac:dyDescent="0.25">
      <c r="D101" s="40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383"/>
      <c r="V101" s="16"/>
    </row>
    <row r="102" spans="4:22" x14ac:dyDescent="0.25">
      <c r="D102" s="40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383"/>
      <c r="V102" s="16"/>
    </row>
    <row r="103" spans="4:22" x14ac:dyDescent="0.25">
      <c r="D103" s="40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383"/>
      <c r="V103" s="16"/>
    </row>
    <row r="104" spans="4:22" x14ac:dyDescent="0.25">
      <c r="D104" s="40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383"/>
      <c r="V104" s="16"/>
    </row>
    <row r="105" spans="4:22" x14ac:dyDescent="0.25">
      <c r="D105" s="40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383"/>
      <c r="V105" s="16"/>
    </row>
    <row r="106" spans="4:22" x14ac:dyDescent="0.25">
      <c r="D106" s="40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383"/>
      <c r="V106" s="16"/>
    </row>
    <row r="107" spans="4:22" x14ac:dyDescent="0.25">
      <c r="D107" s="40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383"/>
      <c r="V107" s="16"/>
    </row>
    <row r="108" spans="4:22" x14ac:dyDescent="0.25">
      <c r="D108" s="40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383"/>
      <c r="V108" s="16"/>
    </row>
    <row r="109" spans="4:22" x14ac:dyDescent="0.25">
      <c r="D109" s="40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383"/>
      <c r="V109" s="16"/>
    </row>
    <row r="110" spans="4:22" x14ac:dyDescent="0.25">
      <c r="D110" s="4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383"/>
      <c r="V110" s="16"/>
    </row>
    <row r="111" spans="4:22" x14ac:dyDescent="0.25">
      <c r="D111" s="40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383"/>
      <c r="V111" s="16"/>
    </row>
    <row r="112" spans="4:22" x14ac:dyDescent="0.25">
      <c r="D112" s="40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383"/>
      <c r="V112" s="16"/>
    </row>
    <row r="113" spans="4:23" x14ac:dyDescent="0.25">
      <c r="D113" s="40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383"/>
      <c r="V113" s="16"/>
    </row>
    <row r="114" spans="4:23" x14ac:dyDescent="0.25">
      <c r="D114" s="40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383"/>
      <c r="V114" s="16"/>
    </row>
    <row r="115" spans="4:23" x14ac:dyDescent="0.25">
      <c r="D115" s="40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383"/>
      <c r="V115" s="16"/>
    </row>
    <row r="116" spans="4:23" x14ac:dyDescent="0.25">
      <c r="D116" s="40"/>
      <c r="E116" s="66"/>
      <c r="F116" s="67"/>
      <c r="G116" s="16"/>
      <c r="H116" s="56"/>
      <c r="I116" s="56"/>
      <c r="J116" s="61"/>
      <c r="U116" s="377"/>
    </row>
    <row r="117" spans="4:23" x14ac:dyDescent="0.25">
      <c r="D117" s="40"/>
      <c r="E117" s="66"/>
      <c r="F117" s="67"/>
      <c r="G117" s="16"/>
      <c r="H117" s="56"/>
      <c r="I117" s="56"/>
      <c r="J117" s="61"/>
      <c r="U117" s="377"/>
    </row>
    <row r="118" spans="4:23" x14ac:dyDescent="0.25">
      <c r="D118" s="40"/>
      <c r="E118" s="66"/>
      <c r="F118" s="67"/>
      <c r="G118" s="16"/>
      <c r="H118" s="56"/>
      <c r="I118" s="56"/>
      <c r="J118" s="61"/>
      <c r="U118" s="377"/>
    </row>
    <row r="119" spans="4:23" s="30" customFormat="1" ht="27" customHeight="1" x14ac:dyDescent="0.25">
      <c r="D119" s="587" t="s">
        <v>35</v>
      </c>
      <c r="U119" s="384"/>
      <c r="W119" s="587" t="s">
        <v>215</v>
      </c>
    </row>
    <row r="120" spans="4:23" x14ac:dyDescent="0.25">
      <c r="D120" s="40"/>
      <c r="E120" s="66"/>
      <c r="F120" s="67"/>
      <c r="G120" s="16"/>
      <c r="H120" s="56"/>
      <c r="I120" s="56"/>
      <c r="J120" s="61"/>
      <c r="U120" s="377"/>
    </row>
    <row r="121" spans="4:23" ht="15" customHeight="1" x14ac:dyDescent="0.25">
      <c r="D121" s="40"/>
      <c r="E121" s="66"/>
      <c r="F121" s="67"/>
      <c r="G121" s="16"/>
      <c r="H121" s="56"/>
      <c r="I121" s="56"/>
      <c r="J121" s="61"/>
      <c r="U121" s="377"/>
    </row>
    <row r="122" spans="4:23" ht="15" customHeight="1" x14ac:dyDescent="0.25">
      <c r="D122" s="40"/>
      <c r="E122" s="66"/>
      <c r="F122" s="67"/>
      <c r="G122" s="16"/>
      <c r="H122" s="56"/>
      <c r="I122" s="56"/>
      <c r="J122" s="61"/>
      <c r="U122" s="377"/>
    </row>
    <row r="123" spans="4:23" ht="15" customHeight="1" x14ac:dyDescent="0.25">
      <c r="D123" s="40"/>
      <c r="E123" s="66"/>
      <c r="F123" s="67"/>
      <c r="G123" s="16"/>
      <c r="H123" s="56"/>
      <c r="I123" s="56"/>
      <c r="J123" s="61"/>
      <c r="U123" s="377"/>
    </row>
    <row r="124" spans="4:23" x14ac:dyDescent="0.25">
      <c r="D124" s="40"/>
      <c r="E124" s="66"/>
      <c r="F124" s="67"/>
      <c r="G124" s="16"/>
      <c r="H124" s="56"/>
      <c r="I124" s="56"/>
      <c r="J124" s="61"/>
      <c r="U124" s="377"/>
    </row>
    <row r="125" spans="4:23" x14ac:dyDescent="0.25">
      <c r="D125" s="40"/>
      <c r="E125" s="66"/>
      <c r="F125" s="67"/>
      <c r="G125" s="16"/>
      <c r="H125" s="56"/>
      <c r="I125" s="56"/>
      <c r="J125" s="61"/>
      <c r="U125" s="377"/>
    </row>
    <row r="126" spans="4:23" x14ac:dyDescent="0.25">
      <c r="D126" s="40"/>
      <c r="E126" s="66"/>
      <c r="F126" s="67"/>
      <c r="G126" s="16"/>
      <c r="H126" s="56"/>
      <c r="I126" s="56"/>
      <c r="J126" s="61"/>
      <c r="U126" s="377"/>
    </row>
    <row r="127" spans="4:23" x14ac:dyDescent="0.25">
      <c r="D127" s="40"/>
      <c r="E127" s="66"/>
      <c r="F127" s="67"/>
      <c r="G127" s="16"/>
      <c r="H127" s="56"/>
      <c r="I127" s="56"/>
      <c r="J127" s="61"/>
      <c r="U127" s="377"/>
    </row>
    <row r="128" spans="4:23" x14ac:dyDescent="0.25">
      <c r="D128" s="40"/>
      <c r="E128" s="66"/>
      <c r="F128" s="67"/>
      <c r="G128" s="16"/>
      <c r="H128" s="56"/>
      <c r="I128" s="56"/>
      <c r="J128" s="61"/>
      <c r="U128" s="377"/>
    </row>
    <row r="129" spans="21:21" x14ac:dyDescent="0.25">
      <c r="U129" s="377"/>
    </row>
    <row r="130" spans="21:21" x14ac:dyDescent="0.25">
      <c r="U130" s="377"/>
    </row>
    <row r="131" spans="21:21" x14ac:dyDescent="0.25">
      <c r="U131" s="377"/>
    </row>
    <row r="132" spans="21:21" x14ac:dyDescent="0.25">
      <c r="U132" s="377"/>
    </row>
    <row r="133" spans="21:21" x14ac:dyDescent="0.25">
      <c r="U133" s="377"/>
    </row>
    <row r="134" spans="21:21" x14ac:dyDescent="0.25">
      <c r="U134" s="377"/>
    </row>
    <row r="135" spans="21:21" x14ac:dyDescent="0.25">
      <c r="U135" s="377"/>
    </row>
    <row r="136" spans="21:21" x14ac:dyDescent="0.25">
      <c r="U136" s="377"/>
    </row>
    <row r="137" spans="21:21" x14ac:dyDescent="0.25">
      <c r="U137" s="377"/>
    </row>
    <row r="138" spans="21:21" x14ac:dyDescent="0.25">
      <c r="U138" s="377"/>
    </row>
    <row r="139" spans="21:21" x14ac:dyDescent="0.25">
      <c r="U139" s="377"/>
    </row>
    <row r="140" spans="21:21" x14ac:dyDescent="0.25">
      <c r="U140" s="377"/>
    </row>
    <row r="141" spans="21:21" x14ac:dyDescent="0.25">
      <c r="U141" s="377"/>
    </row>
    <row r="142" spans="21:21" x14ac:dyDescent="0.25">
      <c r="U142" s="377"/>
    </row>
    <row r="143" spans="21:21" x14ac:dyDescent="0.25">
      <c r="U143" s="377"/>
    </row>
    <row r="144" spans="21:21" x14ac:dyDescent="0.25">
      <c r="U144" s="377"/>
    </row>
    <row r="145" spans="4:23" x14ac:dyDescent="0.25">
      <c r="U145" s="377"/>
    </row>
    <row r="146" spans="4:23" s="30" customFormat="1" ht="27" customHeight="1" x14ac:dyDescent="0.25">
      <c r="D146" s="587" t="s">
        <v>129</v>
      </c>
      <c r="U146" s="384"/>
      <c r="W146" s="587" t="s">
        <v>224</v>
      </c>
    </row>
    <row r="147" spans="4:23" x14ac:dyDescent="0.25">
      <c r="U147" s="377"/>
    </row>
    <row r="148" spans="4:23" ht="15" customHeight="1" x14ac:dyDescent="0.25">
      <c r="U148" s="377"/>
    </row>
    <row r="149" spans="4:23" ht="15" customHeight="1" x14ac:dyDescent="0.25">
      <c r="U149" s="377"/>
    </row>
    <row r="150" spans="4:23" ht="15" customHeight="1" x14ac:dyDescent="0.25">
      <c r="U150" s="377"/>
    </row>
    <row r="151" spans="4:23" x14ac:dyDescent="0.25">
      <c r="U151" s="377"/>
    </row>
    <row r="152" spans="4:23" x14ac:dyDescent="0.25">
      <c r="U152" s="377"/>
    </row>
    <row r="153" spans="4:23" x14ac:dyDescent="0.25">
      <c r="U153" s="377"/>
    </row>
    <row r="154" spans="4:23" x14ac:dyDescent="0.25">
      <c r="U154" s="377"/>
    </row>
    <row r="155" spans="4:23" x14ac:dyDescent="0.25">
      <c r="U155" s="377"/>
    </row>
    <row r="156" spans="4:23" x14ac:dyDescent="0.25">
      <c r="U156" s="377"/>
    </row>
    <row r="157" spans="4:23" x14ac:dyDescent="0.25">
      <c r="U157" s="377"/>
    </row>
    <row r="158" spans="4:23" x14ac:dyDescent="0.25">
      <c r="U158" s="377"/>
    </row>
    <row r="159" spans="4:23" x14ac:dyDescent="0.25">
      <c r="U159" s="377"/>
    </row>
    <row r="160" spans="4:23" x14ac:dyDescent="0.25">
      <c r="U160" s="377"/>
    </row>
    <row r="161" spans="4:38" x14ac:dyDescent="0.25">
      <c r="U161" s="377"/>
    </row>
    <row r="162" spans="4:38" x14ac:dyDescent="0.25">
      <c r="U162" s="377"/>
    </row>
    <row r="163" spans="4:38" x14ac:dyDescent="0.25">
      <c r="U163" s="377"/>
    </row>
    <row r="164" spans="4:38" x14ac:dyDescent="0.25">
      <c r="U164" s="377"/>
    </row>
    <row r="165" spans="4:38" x14ac:dyDescent="0.25">
      <c r="U165" s="377"/>
    </row>
    <row r="166" spans="4:38" x14ac:dyDescent="0.25">
      <c r="U166" s="377"/>
    </row>
    <row r="167" spans="4:38" x14ac:dyDescent="0.25">
      <c r="U167" s="377"/>
    </row>
    <row r="168" spans="4:38" x14ac:dyDescent="0.25">
      <c r="U168" s="377"/>
    </row>
    <row r="169" spans="4:38" x14ac:dyDescent="0.25">
      <c r="U169" s="377"/>
    </row>
    <row r="170" spans="4:38" x14ac:dyDescent="0.25">
      <c r="U170" s="377"/>
    </row>
    <row r="171" spans="4:38" x14ac:dyDescent="0.25">
      <c r="D171" s="40" t="s">
        <v>307</v>
      </c>
      <c r="E171" s="662"/>
      <c r="F171" s="662"/>
      <c r="G171" s="662"/>
      <c r="H171" s="662"/>
      <c r="I171" s="662"/>
      <c r="J171" s="662"/>
      <c r="K171" s="662"/>
      <c r="U171" s="377"/>
      <c r="W171" s="661" t="s">
        <v>308</v>
      </c>
    </row>
    <row r="172" spans="4:38" x14ac:dyDescent="0.25">
      <c r="D172" s="661"/>
      <c r="U172" s="377"/>
    </row>
    <row r="173" spans="4:38" x14ac:dyDescent="0.25">
      <c r="U173" s="377"/>
    </row>
    <row r="174" spans="4:38" x14ac:dyDescent="0.25">
      <c r="D174" s="661"/>
      <c r="U174" s="377"/>
    </row>
    <row r="175" spans="4:38" x14ac:dyDescent="0.25">
      <c r="U175" s="377"/>
    </row>
    <row r="176" spans="4:38" s="349" customFormat="1" ht="45" customHeight="1" x14ac:dyDescent="0.45">
      <c r="D176" s="349" t="s">
        <v>131</v>
      </c>
      <c r="U176" s="385"/>
      <c r="W176" s="349" t="s">
        <v>281</v>
      </c>
      <c r="AL176" s="350"/>
    </row>
    <row r="177" spans="1:38" s="347" customFormat="1" ht="37.5" customHeight="1" x14ac:dyDescent="0.25">
      <c r="A177" s="618"/>
      <c r="B177" s="618"/>
      <c r="C177" s="618"/>
      <c r="D177" s="583" t="s">
        <v>279</v>
      </c>
      <c r="E177" s="618"/>
      <c r="F177" s="618"/>
      <c r="G177" s="618"/>
      <c r="H177" s="618"/>
      <c r="I177" s="618"/>
      <c r="J177" s="618"/>
      <c r="K177" s="618"/>
      <c r="L177" s="618"/>
      <c r="M177" s="618"/>
      <c r="N177" s="618"/>
      <c r="O177" s="618"/>
      <c r="P177" s="618"/>
      <c r="Q177" s="618"/>
      <c r="R177" s="618"/>
      <c r="U177" s="386"/>
      <c r="W177" s="704" t="s">
        <v>280</v>
      </c>
      <c r="X177" s="705"/>
      <c r="Y177" s="705"/>
      <c r="Z177" s="705"/>
      <c r="AA177" s="705"/>
      <c r="AB177" s="705"/>
      <c r="AC177" s="705"/>
      <c r="AD177" s="705"/>
      <c r="AE177" s="705"/>
      <c r="AF177" s="705"/>
      <c r="AG177" s="705"/>
      <c r="AH177" s="705"/>
      <c r="AI177" s="705"/>
      <c r="AJ177" s="705"/>
      <c r="AK177" s="705"/>
      <c r="AL177" s="348"/>
    </row>
    <row r="178" spans="1:38" x14ac:dyDescent="0.25">
      <c r="U178" s="377"/>
    </row>
    <row r="179" spans="1:38" ht="30" customHeight="1" x14ac:dyDescent="0.25">
      <c r="A179" s="585"/>
      <c r="D179" s="684" t="str">
        <f>"Losun árið "&amp;$B$2&amp;" í samanburði við losun fyrri ára"</f>
        <v>Losun árið 2023 í samanburði við losun fyrri ára</v>
      </c>
      <c r="E179" s="684"/>
      <c r="F179" s="684"/>
      <c r="G179" s="684"/>
      <c r="H179" s="684"/>
      <c r="I179" s="684"/>
      <c r="J179" s="684"/>
      <c r="U179" s="377"/>
      <c r="W179" s="684" t="str">
        <f>"Emissions in "&amp;$B$2&amp;" compared to emissions in previous years"</f>
        <v>Emissions in 2023 compared to emissions in previous years</v>
      </c>
      <c r="X179" s="684"/>
      <c r="Y179" s="684"/>
      <c r="Z179" s="684"/>
      <c r="AA179" s="684"/>
      <c r="AB179" s="684"/>
      <c r="AC179" s="684"/>
    </row>
    <row r="180" spans="1:38" ht="18.75" customHeight="1" x14ac:dyDescent="0.25">
      <c r="A180" s="585"/>
      <c r="D180" s="108"/>
      <c r="E180" s="681" t="str">
        <f>"Losun "&amp;$B$2</f>
        <v>Losun 2023</v>
      </c>
      <c r="F180" s="682"/>
      <c r="G180" s="681" t="str">
        <f>"Breyting frá "&amp;$B$3</f>
        <v>Breyting frá 2022</v>
      </c>
      <c r="H180" s="682"/>
      <c r="I180" s="681" t="str">
        <f>"Breyting frá "&amp;$B$5</f>
        <v>Breyting frá 2005</v>
      </c>
      <c r="J180" s="683"/>
      <c r="L180" s="3"/>
      <c r="M180" s="92"/>
      <c r="N180" s="56"/>
      <c r="O180" s="56"/>
      <c r="P180" s="58"/>
      <c r="Q180" s="56"/>
      <c r="R180" s="56"/>
      <c r="S180" s="57"/>
      <c r="U180" s="377"/>
      <c r="W180" s="108"/>
      <c r="X180" s="690" t="str">
        <f>"Emissions in "&amp;$B$2</f>
        <v>Emissions in 2023</v>
      </c>
      <c r="Y180" s="691"/>
      <c r="Z180" s="690" t="str">
        <f>"Change from "&amp;$B$3</f>
        <v>Change from 2022</v>
      </c>
      <c r="AA180" s="691"/>
      <c r="AB180" s="690" t="str">
        <f>"Change from "&amp;$B$5</f>
        <v>Change from 2005</v>
      </c>
      <c r="AC180" s="692"/>
    </row>
    <row r="181" spans="1:38" ht="18.75" customHeight="1" x14ac:dyDescent="0.25">
      <c r="A181" s="585"/>
      <c r="D181" s="108"/>
      <c r="E181" s="36" t="s">
        <v>5</v>
      </c>
      <c r="F181" s="96" t="s">
        <v>4</v>
      </c>
      <c r="G181" s="36" t="s">
        <v>5</v>
      </c>
      <c r="H181" s="96" t="s">
        <v>4</v>
      </c>
      <c r="I181" s="36" t="s">
        <v>5</v>
      </c>
      <c r="J181" s="36" t="s">
        <v>4</v>
      </c>
      <c r="L181" s="93"/>
      <c r="M181" s="63"/>
      <c r="N181" s="56"/>
      <c r="O181" s="56"/>
      <c r="P181" s="58"/>
      <c r="Q181" s="56"/>
      <c r="R181" s="56"/>
      <c r="S181" s="57"/>
      <c r="U181" s="377"/>
      <c r="W181" s="108"/>
      <c r="X181" s="36" t="s">
        <v>216</v>
      </c>
      <c r="Y181" s="96" t="s">
        <v>4</v>
      </c>
      <c r="Z181" s="36" t="s">
        <v>216</v>
      </c>
      <c r="AA181" s="96" t="s">
        <v>4</v>
      </c>
      <c r="AB181" s="36" t="s">
        <v>216</v>
      </c>
      <c r="AC181" s="36" t="s">
        <v>4</v>
      </c>
    </row>
    <row r="182" spans="1:38" ht="21" customHeight="1" x14ac:dyDescent="0.25">
      <c r="A182" s="260" t="s">
        <v>108</v>
      </c>
      <c r="B182" s="255" t="s">
        <v>56</v>
      </c>
      <c r="D182" s="81" t="str">
        <f>'Talnagögn | Numerical Data'!$D$145</f>
        <v>Vegasamgöngur</v>
      </c>
      <c r="E182" s="34" cm="1">
        <f t="array" ref="E182">INDEX('Talnagögn | Numerical Data'!$142:$160, _xlfn.XMATCH($A182,'Talnagögn | Numerical Data'!$A$142:$A$160), _xlfn.XMATCH($B$2,'Talnagögn | Numerical Data'!$143:$143))</f>
        <v>921.28481276391403</v>
      </c>
      <c r="F182" s="76">
        <f t="shared" ref="F182:F188" si="2">$E182/$E$190</f>
        <v>0.32754561722124037</v>
      </c>
      <c r="G182" s="56" cm="1">
        <f t="array" ref="G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_xlfn.XMATCH($B$3,'Talnagögn | Numerical Data'!$143:$143))</f>
        <v>-4.7274330148738954</v>
      </c>
      <c r="H182" s="127" cm="1">
        <f t="array" ref="H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_xlfn.XMATCH($B$3,'Talnagögn | Numerical Data'!$143:$143))-1</f>
        <v>-5.1051517260423118E-3</v>
      </c>
      <c r="I182" s="73" cm="1">
        <f t="array" ref="I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_xlfn.XMATCH($B$5,'Talnagögn | Numerical Data'!$143:$143))</f>
        <v>146.297636004982</v>
      </c>
      <c r="J182" s="72" cm="1">
        <f t="array" ref="J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_xlfn.XMATCH($B$5,'Talnagögn | Numerical Data'!$143:$143))-1</f>
        <v>0.18877426671343422</v>
      </c>
      <c r="L182" s="91"/>
      <c r="M182" s="61"/>
      <c r="N182" s="28"/>
      <c r="O182" s="28"/>
      <c r="P182" s="28"/>
      <c r="Q182" s="28"/>
      <c r="R182" s="28"/>
      <c r="S182" s="57"/>
      <c r="U182" s="377"/>
      <c r="W182" s="376" t="s">
        <v>225</v>
      </c>
      <c r="X182" s="34" cm="1">
        <f t="array" ref="X182">INDEX('Talnagögn | Numerical Data'!$142:$160, _xlfn.XMATCH($A182,'Talnagögn | Numerical Data'!$A$142:$A$160), _xlfn.XMATCH($B$2,'Talnagögn | Numerical Data'!$143:$143))</f>
        <v>921.28481276391403</v>
      </c>
      <c r="Y182" s="76">
        <f t="shared" ref="Y182" si="3">$E182/$E$190</f>
        <v>0.32754561722124037</v>
      </c>
      <c r="Z182" s="56" cm="1">
        <f t="array" ref="Z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_xlfn.XMATCH($B$3,'Talnagögn | Numerical Data'!$143:$143))</f>
        <v>-4.7274330148738954</v>
      </c>
      <c r="AA182" s="127" cm="1">
        <f t="array" ref="AA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_xlfn.XMATCH($B$3,'Talnagögn | Numerical Data'!$143:$143))-1</f>
        <v>-5.1051517260423118E-3</v>
      </c>
      <c r="AB182" s="73" cm="1">
        <f t="array" ref="AB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_xlfn.XMATCH($B$5,'Talnagögn | Numerical Data'!$143:$143))</f>
        <v>146.297636004982</v>
      </c>
      <c r="AC182" s="72" cm="1">
        <f t="array" ref="AC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_xlfn.XMATCH($B$5,'Talnagögn | Numerical Data'!$143:$143))-1</f>
        <v>0.18877426671343422</v>
      </c>
    </row>
    <row r="183" spans="1:38" ht="21" customHeight="1" x14ac:dyDescent="0.25">
      <c r="A183" s="260" t="s">
        <v>58</v>
      </c>
      <c r="B183" s="255" t="s">
        <v>56</v>
      </c>
      <c r="D183" s="81" t="str">
        <f>'Talnagögn | Numerical Data'!$D$150</f>
        <v>Fiskiskip</v>
      </c>
      <c r="E183" s="34" cm="1">
        <f t="array" ref="E183">INDEX('Talnagögn | Numerical Data'!$142:$160, _xlfn.XMATCH($A183,'Talnagögn | Numerical Data'!$A$142:$A$160), _xlfn.XMATCH($B$2,'Talnagögn | Numerical Data'!$143:$143))</f>
        <v>485.3352147538011</v>
      </c>
      <c r="F183" s="76">
        <f>$E183/$E$190</f>
        <v>0.17255187567764033</v>
      </c>
      <c r="G183" s="113" cm="1">
        <f t="array" ref="G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_xlfn.XMATCH($B$3,'Talnagögn | Numerical Data'!$143:$143))</f>
        <v>4.8347753176444712</v>
      </c>
      <c r="H183" s="119" cm="1">
        <f t="array" ref="H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_xlfn.XMATCH($B$3,'Talnagögn | Numerical Data'!$143:$143))-1</f>
        <v>1.0061958160366702E-2</v>
      </c>
      <c r="I183" s="73" cm="1">
        <f t="array" ref="I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_xlfn.XMATCH($B$5,'Talnagögn | Numerical Data'!$143:$143))</f>
        <v>-256.94058220377826</v>
      </c>
      <c r="J183" s="72" cm="1">
        <f t="array" ref="J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_xlfn.XMATCH($B$5,'Talnagögn | Numerical Data'!$143:$143))-1</f>
        <v>-0.34615244529987321</v>
      </c>
      <c r="L183" s="91"/>
      <c r="M183" s="58"/>
      <c r="N183" s="28"/>
      <c r="O183" s="28"/>
      <c r="P183" s="28"/>
      <c r="Q183" s="28"/>
      <c r="R183" s="28"/>
      <c r="S183" s="57"/>
      <c r="U183" s="377"/>
      <c r="W183" s="376" t="s">
        <v>173</v>
      </c>
      <c r="X183" s="34" cm="1">
        <f t="array" ref="X183">INDEX('Talnagögn | Numerical Data'!$142:$160, _xlfn.XMATCH($A183,'Talnagögn | Numerical Data'!$A$142:$A$160), _xlfn.XMATCH($B$2,'Talnagögn | Numerical Data'!$143:$143))</f>
        <v>485.3352147538011</v>
      </c>
      <c r="Y183" s="76">
        <f>$E183/$E$190</f>
        <v>0.17255187567764033</v>
      </c>
      <c r="Z183" s="113" cm="1">
        <f t="array" ref="Z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_xlfn.XMATCH($B$3,'Talnagögn | Numerical Data'!$143:$143))</f>
        <v>4.8347753176444712</v>
      </c>
      <c r="AA183" s="119" cm="1">
        <f t="array" ref="AA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_xlfn.XMATCH($B$3,'Talnagögn | Numerical Data'!$143:$143))-1</f>
        <v>1.0061958160366702E-2</v>
      </c>
      <c r="AB183" s="73" cm="1">
        <f t="array" ref="AB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_xlfn.XMATCH($B$5,'Talnagögn | Numerical Data'!$143:$143))</f>
        <v>-256.94058220377826</v>
      </c>
      <c r="AC183" s="72" cm="1">
        <f t="array" ref="AC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_xlfn.XMATCH($B$5,'Talnagögn | Numerical Data'!$143:$143))-1</f>
        <v>-0.34615244529987321</v>
      </c>
    </row>
    <row r="184" spans="1:38" ht="21" customHeight="1" x14ac:dyDescent="0.25">
      <c r="A184" s="260" t="s">
        <v>52</v>
      </c>
      <c r="B184" s="255" t="s">
        <v>56</v>
      </c>
      <c r="D184" s="81" t="str">
        <f>'Talnagögn | Numerical Data'!$D$151</f>
        <v>Landbúnaður</v>
      </c>
      <c r="E184" s="34" cm="1">
        <f t="array" ref="E184">INDEX('Talnagögn | Numerical Data'!$142:$160, _xlfn.XMATCH($A184,'Talnagögn | Numerical Data'!$A$142:$A$160), _xlfn.XMATCH($B$2,'Talnagögn | Numerical Data'!$143:$143))</f>
        <v>693.89491902799296</v>
      </c>
      <c r="F184" s="76">
        <f t="shared" si="2"/>
        <v>0.24670138527286165</v>
      </c>
      <c r="G184" s="73" cm="1">
        <f t="array" ref="G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_xlfn.XMATCH($B$3,'Talnagögn | Numerical Data'!$143:$143))</f>
        <v>-19.387103879102824</v>
      </c>
      <c r="H184" s="119" cm="1">
        <f t="array" ref="H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_xlfn.XMATCH($B$3,'Talnagögn | Numerical Data'!$143:$143))-1</f>
        <v>-2.7180138089121564E-2</v>
      </c>
      <c r="I184" s="73" cm="1">
        <f t="array" ref="I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_xlfn.XMATCH($B$5,'Talnagögn | Numerical Data'!$143:$143))</f>
        <v>-17.238067864133882</v>
      </c>
      <c r="J184" s="61" cm="1">
        <f t="array" ref="J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_xlfn.XMATCH($B$5,'Talnagögn | Numerical Data'!$143:$143))-1</f>
        <v>-2.4240287234416735E-2</v>
      </c>
      <c r="K184" s="415"/>
      <c r="L184" s="91"/>
      <c r="M184" s="61"/>
      <c r="N184" s="28"/>
      <c r="O184" s="28"/>
      <c r="P184" s="28"/>
      <c r="Q184" s="28"/>
      <c r="R184" s="28"/>
      <c r="S184" s="57"/>
      <c r="U184" s="377"/>
      <c r="W184" s="376" t="s">
        <v>157</v>
      </c>
      <c r="X184" s="34" cm="1">
        <f t="array" ref="X184">INDEX('Talnagögn | Numerical Data'!$142:$160, _xlfn.XMATCH($A184,'Talnagögn | Numerical Data'!$A$142:$A$160), _xlfn.XMATCH($B$2,'Talnagögn | Numerical Data'!$143:$143))</f>
        <v>693.89491902799296</v>
      </c>
      <c r="Y184" s="76">
        <f t="shared" ref="Y184:Y188" si="4">$E184/$E$190</f>
        <v>0.24670138527286165</v>
      </c>
      <c r="Z184" s="73" cm="1">
        <f t="array" ref="Z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_xlfn.XMATCH($B$3,'Talnagögn | Numerical Data'!$143:$143))</f>
        <v>-19.387103879102824</v>
      </c>
      <c r="AA184" s="119" cm="1">
        <f t="array" ref="AA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_xlfn.XMATCH($B$3,'Talnagögn | Numerical Data'!$143:$143))-1</f>
        <v>-2.7180138089121564E-2</v>
      </c>
      <c r="AB184" s="73" cm="1">
        <f t="array" ref="AB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_xlfn.XMATCH($B$5,'Talnagögn | Numerical Data'!$143:$143))</f>
        <v>-17.238067864133882</v>
      </c>
      <c r="AC184" s="61" cm="1">
        <f t="array" ref="AC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_xlfn.XMATCH($B$5,'Talnagögn | Numerical Data'!$143:$143))-1</f>
        <v>-2.4240287234416735E-2</v>
      </c>
    </row>
    <row r="185" spans="1:38" ht="21" customHeight="1" x14ac:dyDescent="0.25">
      <c r="A185" s="260" t="s">
        <v>84</v>
      </c>
      <c r="B185" s="255" t="s">
        <v>56</v>
      </c>
      <c r="D185" s="81" t="str">
        <f>'Talnagögn | Numerical Data'!$D$152</f>
        <v>Urðun úrgangs</v>
      </c>
      <c r="E185" s="34" cm="1">
        <f t="array" ref="E185">INDEX('Talnagögn | Numerical Data'!$142:$160, _xlfn.XMATCH($A185,'Talnagögn | Numerical Data'!$A$142:$A$160), _xlfn.XMATCH($B$2,'Talnagögn | Numerical Data'!$143:$143))</f>
        <v>201.26070771553427</v>
      </c>
      <c r="F185" s="98">
        <f t="shared" si="2"/>
        <v>7.1554487621800555E-2</v>
      </c>
      <c r="G185" s="69" cm="1">
        <f t="array" ref="G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_xlfn.XMATCH($B$3,'Talnagögn | Numerical Data'!$143:$143))</f>
        <v>-13.484370920345839</v>
      </c>
      <c r="H185" s="119" cm="1">
        <f t="array" ref="H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_xlfn.XMATCH($B$3,'Talnagögn | Numerical Data'!$143:$143))-1</f>
        <v>-6.2792456087945148E-2</v>
      </c>
      <c r="I185" s="73" cm="1">
        <f t="array" ref="I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_xlfn.XMATCH($B$5,'Talnagögn | Numerical Data'!$143:$143))</f>
        <v>-82.620029317424695</v>
      </c>
      <c r="J185" s="72" cm="1">
        <f t="array" ref="J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_xlfn.XMATCH($B$5,'Talnagögn | Numerical Data'!$143:$143))-1</f>
        <v>-0.29103781461520017</v>
      </c>
      <c r="L185" s="130"/>
      <c r="M185" s="61"/>
      <c r="N185" s="28"/>
      <c r="O185" s="28"/>
      <c r="P185" s="28"/>
      <c r="Q185" s="28"/>
      <c r="R185" s="28"/>
      <c r="S185" s="57"/>
      <c r="U185" s="377"/>
      <c r="W185" s="376" t="s">
        <v>178</v>
      </c>
      <c r="X185" s="34" cm="1">
        <f t="array" ref="X185">INDEX('Talnagögn | Numerical Data'!$142:$160, _xlfn.XMATCH($A185,'Talnagögn | Numerical Data'!$A$142:$A$160), _xlfn.XMATCH($B$2,'Talnagögn | Numerical Data'!$143:$143))</f>
        <v>201.26070771553427</v>
      </c>
      <c r="Y185" s="98">
        <f t="shared" si="4"/>
        <v>7.1554487621800555E-2</v>
      </c>
      <c r="Z185" s="69" cm="1">
        <f t="array" ref="Z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_xlfn.XMATCH($B$3,'Talnagögn | Numerical Data'!$143:$143))</f>
        <v>-13.484370920345839</v>
      </c>
      <c r="AA185" s="119" cm="1">
        <f t="array" ref="AA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_xlfn.XMATCH($B$3,'Talnagögn | Numerical Data'!$143:$143))-1</f>
        <v>-6.2792456087945148E-2</v>
      </c>
      <c r="AB185" s="73" cm="1">
        <f t="array" ref="AB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_xlfn.XMATCH($B$5,'Talnagögn | Numerical Data'!$143:$143))</f>
        <v>-82.620029317424695</v>
      </c>
      <c r="AC185" s="72" cm="1">
        <f t="array" ref="AC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_xlfn.XMATCH($B$5,'Talnagögn | Numerical Data'!$143:$143))-1</f>
        <v>-0.29103781461520017</v>
      </c>
    </row>
    <row r="186" spans="1:38" ht="21" customHeight="1" x14ac:dyDescent="0.25">
      <c r="A186" s="260" t="s">
        <v>68</v>
      </c>
      <c r="B186" s="255" t="s">
        <v>56</v>
      </c>
      <c r="D186" s="82" t="str">
        <f>'Talnagögn | Numerical Data'!$D$153</f>
        <v>Kælibúnaður (F-gös)</v>
      </c>
      <c r="E186" s="69" cm="1">
        <f t="array" ref="E186">INDEX('Talnagögn | Numerical Data'!$142:$160, _xlfn.XMATCH($A186,'Talnagögn | Numerical Data'!$A$142:$A$160), _xlfn.XMATCH($B$2,'Talnagögn | Numerical Data'!$143:$143))</f>
        <v>124.61138001256812</v>
      </c>
      <c r="F186" s="98">
        <f t="shared" si="2"/>
        <v>4.4303249997746937E-2</v>
      </c>
      <c r="G186" s="64" cm="1">
        <f t="array" ref="G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_xlfn.XMATCH($B$3,'Talnagögn | Numerical Data'!$143:$143))</f>
        <v>-8.6529120490210261</v>
      </c>
      <c r="H186" s="119" cm="1">
        <f t="array" ref="H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_xlfn.XMATCH($B$3,'Talnagögn | Numerical Data'!$143:$143))-1</f>
        <v>-6.4930461980183041E-2</v>
      </c>
      <c r="I186" s="34" cm="1">
        <f t="array" ref="I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_xlfn.XMATCH($B$5,'Talnagögn | Numerical Data'!$143:$143))</f>
        <v>67.410138606423288</v>
      </c>
      <c r="J186" s="72" cm="1">
        <f t="array" ref="J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_xlfn.XMATCH($B$5,'Talnagögn | Numerical Data'!$143:$143))-1</f>
        <v>1.178473350390989</v>
      </c>
      <c r="L186" s="56"/>
      <c r="M186" s="61"/>
      <c r="N186" s="28"/>
      <c r="O186" s="28"/>
      <c r="P186" s="28"/>
      <c r="Q186" s="28"/>
      <c r="R186" s="28"/>
      <c r="S186" s="57"/>
      <c r="U186" s="377"/>
      <c r="W186" s="420" t="s">
        <v>174</v>
      </c>
      <c r="X186" s="69" cm="1">
        <f t="array" ref="X186">INDEX('Talnagögn | Numerical Data'!$142:$160, _xlfn.XMATCH($A186,'Talnagögn | Numerical Data'!$A$142:$A$160), _xlfn.XMATCH($B$2,'Talnagögn | Numerical Data'!$143:$143))</f>
        <v>124.61138001256812</v>
      </c>
      <c r="Y186" s="98">
        <f t="shared" si="4"/>
        <v>4.4303249997746937E-2</v>
      </c>
      <c r="Z186" s="64" cm="1">
        <f t="array" ref="Z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_xlfn.XMATCH($B$3,'Talnagögn | Numerical Data'!$143:$143))</f>
        <v>-8.6529120490210261</v>
      </c>
      <c r="AA186" s="119" cm="1">
        <f t="array" ref="AA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_xlfn.XMATCH($B$3,'Talnagögn | Numerical Data'!$143:$143))-1</f>
        <v>-6.4930461980183041E-2</v>
      </c>
      <c r="AB186" s="34" cm="1">
        <f t="array" ref="AB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_xlfn.XMATCH($B$5,'Talnagögn | Numerical Data'!$143:$143))</f>
        <v>67.410138606423288</v>
      </c>
      <c r="AC186" s="72" cm="1">
        <f t="array" ref="AC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_xlfn.XMATCH($B$5,'Talnagögn | Numerical Data'!$143:$143))-1</f>
        <v>1.178473350390989</v>
      </c>
    </row>
    <row r="187" spans="1:38" ht="21" customHeight="1" x14ac:dyDescent="0.25">
      <c r="A187" s="260" t="s">
        <v>63</v>
      </c>
      <c r="B187" s="255" t="s">
        <v>56</v>
      </c>
      <c r="D187" s="81" t="str">
        <f>'Talnagögn | Numerical Data'!$D$154</f>
        <v>Jarðvarmavirkjanir</v>
      </c>
      <c r="E187" s="69" cm="1">
        <f t="array" ref="E187">INDEX('Talnagögn | Numerical Data'!$142:$160, _xlfn.XMATCH($A187,'Talnagögn | Numerical Data'!$A$142:$A$160), _xlfn.XMATCH($B$2,'Talnagögn | Numerical Data'!$143:$143))</f>
        <v>176.69460000000001</v>
      </c>
      <c r="F187" s="98">
        <f t="shared" si="2"/>
        <v>6.2820466607964379E-2</v>
      </c>
      <c r="G187" s="64" cm="1">
        <f t="array" ref="G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_xlfn.XMATCH($B$3,'Talnagögn | Numerical Data'!$143:$143))</f>
        <v>-1.4491846135524611</v>
      </c>
      <c r="H187" s="127" cm="1">
        <f t="array" ref="H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_xlfn.XMATCH($B$3,'Talnagögn | Numerical Data'!$143:$143))-1</f>
        <v>-8.1349153813936592E-3</v>
      </c>
      <c r="I187" s="34" cm="1">
        <f t="array" ref="I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_xlfn.XMATCH($B$5,'Talnagögn | Numerical Data'!$143:$143))</f>
        <v>57.257206693838583</v>
      </c>
      <c r="J187" s="72" cm="1">
        <f t="array" ref="J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_xlfn.XMATCH($B$5,'Talnagögn | Numerical Data'!$143:$143))-1</f>
        <v>0.47939096047640262</v>
      </c>
      <c r="L187" s="56"/>
      <c r="M187" s="61"/>
      <c r="N187" s="28"/>
      <c r="O187" s="28"/>
      <c r="P187" s="28"/>
      <c r="Q187" s="28"/>
      <c r="R187" s="28"/>
      <c r="S187" s="57"/>
      <c r="U187" s="377"/>
      <c r="W187" s="376" t="s">
        <v>176</v>
      </c>
      <c r="X187" s="69" cm="1">
        <f t="array" ref="X187">INDEX('Talnagögn | Numerical Data'!$142:$160, _xlfn.XMATCH($A187,'Talnagögn | Numerical Data'!$A$142:$A$160), _xlfn.XMATCH($B$2,'Talnagögn | Numerical Data'!$143:$143))</f>
        <v>176.69460000000001</v>
      </c>
      <c r="Y187" s="98">
        <f t="shared" si="4"/>
        <v>6.2820466607964379E-2</v>
      </c>
      <c r="Z187" s="64" cm="1">
        <f t="array" ref="Z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_xlfn.XMATCH($B$3,'Talnagögn | Numerical Data'!$143:$143))</f>
        <v>-1.4491846135524611</v>
      </c>
      <c r="AA187" s="127" cm="1">
        <f t="array" ref="AA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_xlfn.XMATCH($B$3,'Talnagögn | Numerical Data'!$143:$143))-1</f>
        <v>-8.1349153813936592E-3</v>
      </c>
      <c r="AB187" s="34" cm="1">
        <f t="array" ref="AB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_xlfn.XMATCH($B$5,'Talnagögn | Numerical Data'!$143:$143))</f>
        <v>57.257206693838583</v>
      </c>
      <c r="AC187" s="72" cm="1">
        <f t="array" ref="AC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_xlfn.XMATCH($B$5,'Talnagögn | Numerical Data'!$143:$143))-1</f>
        <v>0.47939096047640262</v>
      </c>
    </row>
    <row r="188" spans="1:38" ht="21" customHeight="1" x14ac:dyDescent="0.25">
      <c r="A188" s="260" t="s">
        <v>109</v>
      </c>
      <c r="B188" s="255" t="s">
        <v>56</v>
      </c>
      <c r="C188" s="255" t="s">
        <v>56</v>
      </c>
      <c r="D188" s="81" t="str">
        <f>'Talnagögn | Numerical Data'!$D$155</f>
        <v>Vélar og tæki</v>
      </c>
      <c r="E188" s="69" cm="1">
        <f t="array" ref="E188">INDEX('Talnagögn | Numerical Data'!$142:$160, _xlfn.XMATCH($A188,'Talnagögn | Numerical Data'!$A$142:$A$160), _xlfn.XMATCH($B$2,'Talnagögn | Numerical Data'!$143:$143))</f>
        <v>74.887888616357046</v>
      </c>
      <c r="F188" s="98">
        <f t="shared" si="2"/>
        <v>2.6624990838230563E-2</v>
      </c>
      <c r="G188" s="69" cm="1">
        <f t="array" ref="G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_xlfn.XMATCH($B$3,'Talnagögn | Numerical Data'!$143:$143))</f>
        <v>15.433234692825003</v>
      </c>
      <c r="H188" s="71" cm="1">
        <f t="array" ref="H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_xlfn.XMATCH($B$3,'Talnagögn | Numerical Data'!$143:$143))-1</f>
        <v>0.25957992645410988</v>
      </c>
      <c r="I188" s="34" cm="1">
        <f t="array" ref="I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_xlfn.XMATCH($B$5,'Talnagögn | Numerical Data'!$143:$143))</f>
        <v>-162.00465500113825</v>
      </c>
      <c r="J188" s="72" cm="1">
        <f t="array" ref="J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_xlfn.XMATCH($B$5,'Talnagögn | Numerical Data'!$143:$143))-1</f>
        <v>-0.68387401531186764</v>
      </c>
      <c r="L188" s="56"/>
      <c r="M188" s="61"/>
      <c r="N188" s="28"/>
      <c r="O188" s="28"/>
      <c r="P188" s="28"/>
      <c r="Q188" s="28"/>
      <c r="R188" s="28"/>
      <c r="S188" s="57"/>
      <c r="U188" s="377"/>
      <c r="W188" s="376" t="s">
        <v>177</v>
      </c>
      <c r="X188" s="69" cm="1">
        <f t="array" ref="X188">INDEX('Talnagögn | Numerical Data'!$142:$160, _xlfn.XMATCH($A188,'Talnagögn | Numerical Data'!$A$142:$A$160), _xlfn.XMATCH($B$2,'Talnagögn | Numerical Data'!$143:$143))</f>
        <v>74.887888616357046</v>
      </c>
      <c r="Y188" s="98">
        <f t="shared" si="4"/>
        <v>2.6624990838230563E-2</v>
      </c>
      <c r="Z188" s="69" cm="1">
        <f t="array" ref="Z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_xlfn.XMATCH($B$3,'Talnagögn | Numerical Data'!$143:$143))</f>
        <v>15.433234692825003</v>
      </c>
      <c r="AA188" s="71" cm="1">
        <f t="array" ref="AA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_xlfn.XMATCH($B$3,'Talnagögn | Numerical Data'!$143:$143))-1</f>
        <v>0.25957992645410988</v>
      </c>
      <c r="AB188" s="34" cm="1">
        <f t="array" ref="AB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_xlfn.XMATCH($B$5,'Talnagögn | Numerical Data'!$143:$143))</f>
        <v>-162.00465500113825</v>
      </c>
      <c r="AC188" s="72" cm="1">
        <f t="array" ref="AC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_xlfn.XMATCH($B$5,'Talnagögn | Numerical Data'!$143:$143))-1</f>
        <v>-0.68387401531186764</v>
      </c>
    </row>
    <row r="189" spans="1:38" ht="21" customHeight="1" x14ac:dyDescent="0.25">
      <c r="A189" s="260" t="s">
        <v>110</v>
      </c>
      <c r="B189" s="255" t="s">
        <v>56</v>
      </c>
      <c r="C189" s="255" t="s">
        <v>56</v>
      </c>
      <c r="D189" s="83" t="str">
        <f>'Talnagögn | Numerical Data'!$D$159</f>
        <v>Annað</v>
      </c>
      <c r="E189" s="70" cm="1">
        <f t="array" ref="E189">INDEX('Talnagögn | Numerical Data'!$142:$160, _xlfn.XMATCH($A189,'Talnagögn | Numerical Data'!$A$142:$A$160), _xlfn.XMATCH($B$2,'Talnagögn | Numerical Data'!$143:$143))</f>
        <v>134.72209722585785</v>
      </c>
      <c r="F189" s="87">
        <f>$E189/$E$190</f>
        <v>4.7897926762515287E-2</v>
      </c>
      <c r="G189" s="70" cm="1">
        <f t="array" ref="G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_xlfn.XMATCH($B$3,'Talnagögn | Numerical Data'!$143:$143))</f>
        <v>-43.739400128790294</v>
      </c>
      <c r="H189" s="128" cm="1">
        <f t="array" ref="H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_xlfn.XMATCH($B$3,'Talnagögn | Numerical Data'!$143:$143))-1</f>
        <v>-0.2450915226933742</v>
      </c>
      <c r="I189" s="123" cm="1">
        <f t="array" ref="I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_xlfn.XMATCH($B$5,'Talnagögn | Numerical Data'!$143:$143))</f>
        <v>-189.65926704756566</v>
      </c>
      <c r="J189" s="75" cm="1">
        <f t="array" ref="J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_xlfn.XMATCH($B$5,'Talnagögn | Numerical Data'!$143:$143))-1</f>
        <v>-0.58467991055028801</v>
      </c>
      <c r="L189" s="56"/>
      <c r="M189" s="61"/>
      <c r="N189" s="28"/>
      <c r="O189" s="28"/>
      <c r="P189" s="28"/>
      <c r="Q189" s="28"/>
      <c r="R189" s="28"/>
      <c r="S189" s="57"/>
      <c r="U189" s="377"/>
      <c r="W189" s="265" t="s">
        <v>175</v>
      </c>
      <c r="X189" s="70" cm="1">
        <f t="array" ref="X189">INDEX('Talnagögn | Numerical Data'!$142:$160, _xlfn.XMATCH($A189,'Talnagögn | Numerical Data'!$A$142:$A$160), _xlfn.XMATCH($B$2,'Talnagögn | Numerical Data'!$143:$143))</f>
        <v>134.72209722585785</v>
      </c>
      <c r="Y189" s="87">
        <f>$E189/$E$190</f>
        <v>4.7897926762515287E-2</v>
      </c>
      <c r="Z189" s="70" cm="1">
        <f t="array" ref="Z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_xlfn.XMATCH($B$3,'Talnagögn | Numerical Data'!$143:$143))</f>
        <v>-43.739400128790294</v>
      </c>
      <c r="AA189" s="128" cm="1">
        <f t="array" ref="AA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_xlfn.XMATCH($B$3,'Talnagögn | Numerical Data'!$143:$143))-1</f>
        <v>-0.2450915226933742</v>
      </c>
      <c r="AB189" s="123" cm="1">
        <f t="array" ref="AB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_xlfn.XMATCH($B$5,'Talnagögn | Numerical Data'!$143:$143))</f>
        <v>-189.65926704756566</v>
      </c>
      <c r="AC189" s="75" cm="1">
        <f t="array" ref="AC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_xlfn.XMATCH($B$5,'Talnagögn | Numerical Data'!$143:$143))-1</f>
        <v>-0.58467991055028801</v>
      </c>
    </row>
    <row r="190" spans="1:38" s="16" customFormat="1" ht="30" customHeight="1" x14ac:dyDescent="0.25">
      <c r="A190" s="216" t="s">
        <v>298</v>
      </c>
      <c r="B190" s="262" t="s">
        <v>56</v>
      </c>
      <c r="C190" s="255" t="s">
        <v>56</v>
      </c>
      <c r="D190" s="74" t="s">
        <v>38</v>
      </c>
      <c r="E190" s="77" cm="1">
        <f t="array" ref="E190">INDEX('Talnagögn | Numerical Data'!$142:$160, _xlfn.XMATCH($A190,'Talnagögn | Numerical Data'!$A$142:$A$160), _xlfn.XMATCH($B$2,'Talnagögn | Numerical Data'!$143:$143))</f>
        <v>2812.6916201160252</v>
      </c>
      <c r="F190" s="84">
        <f>SUM(F182:F189)</f>
        <v>1</v>
      </c>
      <c r="G190" s="77" cm="1">
        <f t="array" ref="G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_xlfn.XMATCH($B$3,'Talnagögn | Numerical Data'!$143:$143))</f>
        <v>-71.172394595216701</v>
      </c>
      <c r="H190" s="85" cm="1">
        <f t="array" ref="H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_xlfn.XMATCH($B$3,'Talnagögn | Numerical Data'!$143:$143))-1</f>
        <v>-2.4679525189866824E-2</v>
      </c>
      <c r="I190" s="124" cm="1">
        <f t="array" ref="I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_xlfn.XMATCH($B$5,'Talnagögn | Numerical Data'!$143:$143))</f>
        <v>-437.49762012879728</v>
      </c>
      <c r="J190" s="80" cm="1">
        <f t="array" ref="J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_xlfn.XMATCH($B$5,'Talnagögn | Numerical Data'!$143:$143))-1</f>
        <v>-0.13460681449300549</v>
      </c>
      <c r="L190" s="56"/>
      <c r="M190" s="61"/>
      <c r="N190" s="28"/>
      <c r="O190" s="28"/>
      <c r="P190" s="28"/>
      <c r="Q190" s="28"/>
      <c r="R190" s="28"/>
      <c r="S190" s="57"/>
      <c r="U190" s="383"/>
      <c r="W190" s="421" t="s">
        <v>219</v>
      </c>
      <c r="X190" s="77" cm="1">
        <f t="array" ref="X190">INDEX('Talnagögn | Numerical Data'!$142:$160, _xlfn.XMATCH($A190,'Talnagögn | Numerical Data'!$A$142:$A$160), _xlfn.XMATCH($B$2,'Talnagögn | Numerical Data'!$143:$143))</f>
        <v>2812.6916201160252</v>
      </c>
      <c r="Y190" s="84">
        <f>SUM(Y182:Y189)</f>
        <v>1</v>
      </c>
      <c r="Z190" s="77" cm="1">
        <f t="array" ref="Z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_xlfn.XMATCH($B$3,'Talnagögn | Numerical Data'!$143:$143))</f>
        <v>-71.172394595216701</v>
      </c>
      <c r="AA190" s="85" cm="1">
        <f t="array" ref="AA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_xlfn.XMATCH($B$3,'Talnagögn | Numerical Data'!$143:$143))-1</f>
        <v>-2.4679525189866824E-2</v>
      </c>
      <c r="AB190" s="124" cm="1">
        <f t="array" ref="AB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_xlfn.XMATCH($B$5,'Talnagögn | Numerical Data'!$143:$143))</f>
        <v>-437.49762012879728</v>
      </c>
      <c r="AC190" s="80" cm="1">
        <f t="array" ref="AC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_xlfn.XMATCH($B$5,'Talnagögn | Numerical Data'!$143:$143))-1</f>
        <v>-0.13460681449300549</v>
      </c>
    </row>
    <row r="191" spans="1:38" s="16" customFormat="1" ht="30" customHeight="1" x14ac:dyDescent="0.25">
      <c r="A191" s="258"/>
      <c r="B191" s="260" t="s">
        <v>111</v>
      </c>
      <c r="C191" s="255" t="s">
        <v>56</v>
      </c>
      <c r="D191" s="68" t="s">
        <v>40</v>
      </c>
      <c r="E191" s="90" t="s">
        <v>294</v>
      </c>
      <c r="F191" s="663" t="s">
        <v>294</v>
      </c>
      <c r="G191" s="90" t="s">
        <v>294</v>
      </c>
      <c r="H191" s="663" t="s">
        <v>294</v>
      </c>
      <c r="I191" s="125" cm="1">
        <f t="array" ref="I191">INDEX('Talnagögn | Numerical Data'!$142:$160, _xlfn.XMATCH($A190,'Talnagögn | Numerical Data'!$A$142:$A$160), _xlfn.XMATCH($B$2,'Talnagögn | Numerical Data'!$143:$143))-'Talnagögn | Numerical Data'!$H$139</f>
        <v>-296.63737988397497</v>
      </c>
      <c r="J191" s="190" cm="1">
        <f t="array" ref="J191">INDEX('Talnagögn | Numerical Data'!$142:$160, _xlfn.XMATCH($A190,'Talnagögn | Numerical Data'!$A$142:$A$160), _xlfn.XMATCH($B$2,'Talnagögn | Numerical Data'!$143:$143))/'Talnagögn | Numerical Data'!$H$139-1</f>
        <v>-9.5402377774746583E-2</v>
      </c>
      <c r="L191" s="91"/>
      <c r="M191" s="61"/>
      <c r="N191" s="28"/>
      <c r="O191" s="28"/>
      <c r="P191" s="28"/>
      <c r="Q191" s="28"/>
      <c r="R191" s="28"/>
      <c r="S191" s="57"/>
      <c r="U191" s="383"/>
      <c r="W191" s="68" t="s">
        <v>226</v>
      </c>
      <c r="X191" s="90" t="s">
        <v>294</v>
      </c>
      <c r="Y191" s="663" t="s">
        <v>294</v>
      </c>
      <c r="Z191" s="90" t="s">
        <v>294</v>
      </c>
      <c r="AA191" s="663" t="s">
        <v>294</v>
      </c>
      <c r="AB191" s="125" cm="1">
        <f t="array" ref="AB191">INDEX('Talnagögn | Numerical Data'!$142:$160, _xlfn.XMATCH($A190,'Talnagögn | Numerical Data'!$A$142:$A$160), _xlfn.XMATCH($B$2,'Talnagögn | Numerical Data'!$143:$143))-'Talnagögn | Numerical Data'!$H$139</f>
        <v>-296.63737988397497</v>
      </c>
      <c r="AC191" s="190" cm="1">
        <f t="array" ref="AC191">INDEX('Talnagögn | Numerical Data'!$142:$160, _xlfn.XMATCH($A190,'Talnagögn | Numerical Data'!$A$142:$A$160), _xlfn.XMATCH($B$2,'Talnagögn | Numerical Data'!$143:$143))/'Talnagögn | Numerical Data'!$H$139-1</f>
        <v>-9.5402377774746583E-2</v>
      </c>
    </row>
    <row r="192" spans="1:38" x14ac:dyDescent="0.25">
      <c r="C192" s="255" t="s">
        <v>56</v>
      </c>
      <c r="D192" s="40" t="s">
        <v>44</v>
      </c>
      <c r="E192" s="66"/>
      <c r="F192" s="67"/>
      <c r="G192" s="16"/>
      <c r="H192" s="56"/>
      <c r="I192" s="56"/>
      <c r="J192" s="61"/>
      <c r="K192" s="28"/>
      <c r="L192" s="28"/>
      <c r="M192" s="28"/>
      <c r="N192" s="28"/>
      <c r="O192" s="28"/>
      <c r="P192" s="61"/>
      <c r="Q192" s="28"/>
      <c r="R192" s="28"/>
      <c r="S192" s="28"/>
      <c r="T192" s="28"/>
      <c r="U192" s="379"/>
      <c r="V192" s="57"/>
      <c r="W192" s="40" t="s">
        <v>212</v>
      </c>
    </row>
    <row r="193" spans="1:22" x14ac:dyDescent="0.25">
      <c r="C193" s="255" t="s">
        <v>56</v>
      </c>
      <c r="D193" s="40"/>
      <c r="E193" s="66"/>
      <c r="F193" s="67"/>
      <c r="G193" s="16"/>
      <c r="H193" s="56"/>
      <c r="I193" s="56"/>
      <c r="J193" s="61"/>
      <c r="K193" s="28"/>
      <c r="L193" s="28"/>
      <c r="M193" s="28"/>
      <c r="N193" s="28"/>
      <c r="O193" s="28"/>
      <c r="P193" s="61"/>
      <c r="Q193" s="28"/>
      <c r="R193" s="28"/>
      <c r="S193" s="28"/>
      <c r="T193" s="28"/>
      <c r="U193" s="379"/>
      <c r="V193" s="57"/>
    </row>
    <row r="194" spans="1:22" x14ac:dyDescent="0.25">
      <c r="D194" s="40"/>
      <c r="E194" s="66"/>
      <c r="F194" s="67"/>
      <c r="G194" s="16"/>
      <c r="H194" s="56"/>
      <c r="I194" s="56"/>
      <c r="J194" s="61"/>
      <c r="K194" s="28"/>
      <c r="L194" s="28"/>
      <c r="M194" s="28"/>
      <c r="N194" s="28"/>
      <c r="O194" s="28"/>
      <c r="P194" s="61"/>
      <c r="Q194" s="28"/>
      <c r="R194" s="28"/>
      <c r="S194" s="28"/>
      <c r="T194" s="28"/>
      <c r="U194" s="379"/>
      <c r="V194" s="57"/>
    </row>
    <row r="195" spans="1:22" x14ac:dyDescent="0.25">
      <c r="D195" s="40"/>
      <c r="E195" s="66"/>
      <c r="F195" s="67"/>
      <c r="G195" s="16"/>
      <c r="H195" s="56"/>
      <c r="I195" s="56"/>
      <c r="J195" s="61"/>
      <c r="K195" s="28"/>
      <c r="L195" s="28"/>
      <c r="M195" s="28"/>
      <c r="N195" s="28"/>
      <c r="O195" s="28"/>
      <c r="P195" s="61"/>
      <c r="Q195" s="28"/>
      <c r="R195" s="28"/>
      <c r="S195" s="28"/>
      <c r="T195" s="28"/>
      <c r="U195" s="379"/>
      <c r="V195" s="57"/>
    </row>
    <row r="196" spans="1:22" x14ac:dyDescent="0.25">
      <c r="D196" s="40"/>
      <c r="E196" s="66"/>
      <c r="F196" s="67"/>
      <c r="G196" s="16"/>
      <c r="H196" s="56"/>
      <c r="I196" s="56"/>
      <c r="J196" s="61"/>
      <c r="K196" s="28"/>
      <c r="L196" s="28"/>
      <c r="M196" s="28"/>
      <c r="N196" s="28"/>
      <c r="O196" s="28"/>
      <c r="P196" s="61"/>
      <c r="Q196" s="28"/>
      <c r="R196" s="28"/>
      <c r="S196" s="28"/>
      <c r="T196" s="28"/>
      <c r="U196" s="379"/>
      <c r="V196" s="57"/>
    </row>
    <row r="197" spans="1:22" x14ac:dyDescent="0.25">
      <c r="D197" s="40"/>
      <c r="E197" s="66"/>
      <c r="F197" s="67"/>
      <c r="G197" s="16"/>
      <c r="H197" s="56"/>
      <c r="I197" s="56"/>
      <c r="J197" s="61"/>
      <c r="K197" s="28"/>
      <c r="L197" s="28"/>
      <c r="M197" s="28"/>
      <c r="N197" s="28"/>
      <c r="O197" s="28"/>
      <c r="P197" s="61"/>
      <c r="Q197" s="28"/>
      <c r="R197" s="28"/>
      <c r="S197" s="28"/>
      <c r="T197" s="28"/>
      <c r="U197" s="379"/>
      <c r="V197" s="57"/>
    </row>
    <row r="198" spans="1:22" x14ac:dyDescent="0.25">
      <c r="D198" s="40"/>
      <c r="E198" s="66"/>
      <c r="F198" s="67"/>
      <c r="G198" s="16"/>
      <c r="H198" s="56"/>
      <c r="I198" s="56"/>
      <c r="J198" s="61"/>
      <c r="K198" s="28"/>
      <c r="L198" s="28"/>
      <c r="M198" s="28"/>
      <c r="N198" s="28"/>
      <c r="O198" s="28"/>
      <c r="P198" s="61"/>
      <c r="Q198" s="28"/>
      <c r="R198" s="28"/>
      <c r="S198" s="28"/>
      <c r="T198" s="28"/>
      <c r="U198" s="379"/>
      <c r="V198" s="57"/>
    </row>
    <row r="199" spans="1:22" x14ac:dyDescent="0.25">
      <c r="D199" s="40"/>
      <c r="E199" s="66"/>
      <c r="F199" s="67"/>
      <c r="G199" s="16"/>
      <c r="H199" s="56"/>
      <c r="I199" s="56"/>
      <c r="J199" s="61"/>
      <c r="K199" s="28"/>
      <c r="L199" s="28"/>
      <c r="M199" s="28"/>
      <c r="N199" s="28"/>
      <c r="O199" s="28"/>
      <c r="P199" s="61"/>
      <c r="Q199" s="28"/>
      <c r="R199" s="28"/>
      <c r="S199" s="28"/>
      <c r="T199" s="28"/>
      <c r="U199" s="379"/>
      <c r="V199" s="57"/>
    </row>
    <row r="200" spans="1:22" x14ac:dyDescent="0.25">
      <c r="D200" s="40"/>
      <c r="E200" s="66"/>
      <c r="F200" s="67"/>
      <c r="G200" s="16"/>
      <c r="H200" s="56"/>
      <c r="I200" s="56"/>
      <c r="J200" s="61"/>
      <c r="K200" s="28"/>
      <c r="L200" s="28"/>
      <c r="M200" s="28"/>
      <c r="N200" s="28"/>
      <c r="O200" s="28"/>
      <c r="P200" s="61"/>
      <c r="Q200" s="28"/>
      <c r="R200" s="28"/>
      <c r="S200" s="28"/>
      <c r="T200" s="28"/>
      <c r="U200" s="379"/>
      <c r="V200" s="57"/>
    </row>
    <row r="201" spans="1:22" x14ac:dyDescent="0.25">
      <c r="D201" s="40"/>
      <c r="E201" s="66"/>
      <c r="F201" s="67"/>
      <c r="G201" s="16"/>
      <c r="H201" s="56"/>
      <c r="I201" s="56"/>
      <c r="J201" s="61"/>
      <c r="K201" s="28"/>
      <c r="L201" s="28"/>
      <c r="M201" s="28"/>
      <c r="N201" s="28"/>
      <c r="O201" s="28"/>
      <c r="P201" s="61"/>
      <c r="Q201" s="28"/>
      <c r="R201" s="28"/>
      <c r="S201" s="28"/>
      <c r="T201" s="28"/>
      <c r="U201" s="379"/>
      <c r="V201" s="57"/>
    </row>
    <row r="202" spans="1:22" x14ac:dyDescent="0.25">
      <c r="D202" s="40"/>
      <c r="E202" s="66"/>
      <c r="F202" s="67"/>
      <c r="G202" s="16"/>
      <c r="H202" s="56"/>
      <c r="I202" s="56"/>
      <c r="J202" s="61"/>
      <c r="K202" s="28"/>
      <c r="L202" s="28"/>
      <c r="M202" s="28"/>
      <c r="N202" s="28"/>
      <c r="O202" s="28"/>
      <c r="P202" s="61"/>
      <c r="Q202" s="28"/>
      <c r="R202" s="28"/>
      <c r="S202" s="28"/>
      <c r="T202" s="28"/>
      <c r="U202" s="379"/>
      <c r="V202" s="57"/>
    </row>
    <row r="203" spans="1:22" ht="15" customHeight="1" x14ac:dyDescent="0.25">
      <c r="A203" s="585"/>
      <c r="D203" s="40"/>
      <c r="E203" s="66"/>
      <c r="F203" s="67"/>
      <c r="G203" s="16"/>
      <c r="H203" s="56"/>
      <c r="I203" s="56"/>
      <c r="J203" s="61"/>
      <c r="K203" s="28"/>
      <c r="L203" s="28"/>
      <c r="M203" s="28"/>
      <c r="N203" s="28"/>
      <c r="O203" s="28"/>
      <c r="P203" s="61"/>
      <c r="Q203" s="28"/>
      <c r="R203" s="28"/>
      <c r="S203" s="28"/>
      <c r="T203" s="28"/>
      <c r="U203" s="379"/>
      <c r="V203" s="57"/>
    </row>
    <row r="204" spans="1:22" ht="15" customHeight="1" x14ac:dyDescent="0.25">
      <c r="A204" s="585"/>
      <c r="D204" s="40"/>
      <c r="E204" s="66"/>
      <c r="F204" s="67"/>
      <c r="G204" s="16"/>
      <c r="H204" s="56"/>
      <c r="I204" s="56"/>
      <c r="J204" s="61"/>
      <c r="K204" s="28"/>
      <c r="L204" s="28"/>
      <c r="M204" s="28"/>
      <c r="N204" s="28"/>
      <c r="O204" s="28"/>
      <c r="P204" s="61"/>
      <c r="Q204" s="28"/>
      <c r="R204" s="28"/>
      <c r="S204" s="28"/>
      <c r="T204" s="28"/>
      <c r="U204" s="379"/>
      <c r="V204" s="57"/>
    </row>
    <row r="205" spans="1:22" ht="15" customHeight="1" x14ac:dyDescent="0.25">
      <c r="A205" s="585"/>
      <c r="D205" s="40"/>
      <c r="E205" s="66"/>
      <c r="F205" s="67"/>
      <c r="G205" s="16"/>
      <c r="H205" s="56"/>
      <c r="I205" s="56"/>
      <c r="J205" s="61"/>
      <c r="K205" s="28"/>
      <c r="L205" s="28"/>
      <c r="M205" s="28"/>
      <c r="N205" s="28"/>
      <c r="O205" s="28"/>
      <c r="P205" s="61"/>
      <c r="Q205" s="28"/>
      <c r="R205" s="28"/>
      <c r="S205" s="28"/>
      <c r="T205" s="28"/>
      <c r="U205" s="379"/>
      <c r="V205" s="57"/>
    </row>
    <row r="206" spans="1:22" x14ac:dyDescent="0.25">
      <c r="D206" s="40"/>
      <c r="E206" s="66"/>
      <c r="F206" s="67"/>
      <c r="G206" s="16"/>
      <c r="H206" s="56"/>
      <c r="I206" s="56"/>
      <c r="J206" s="61"/>
      <c r="K206" s="28"/>
      <c r="L206" s="28"/>
      <c r="M206" s="28"/>
      <c r="N206" s="28"/>
      <c r="O206" s="28"/>
      <c r="P206" s="61"/>
      <c r="Q206" s="28"/>
      <c r="R206" s="28"/>
      <c r="S206" s="28"/>
      <c r="T206" s="28"/>
      <c r="U206" s="379"/>
      <c r="V206" s="57"/>
    </row>
    <row r="207" spans="1:22" x14ac:dyDescent="0.25">
      <c r="D207" s="40"/>
      <c r="E207" s="66"/>
      <c r="F207" s="67"/>
      <c r="G207" s="16"/>
      <c r="H207" s="56"/>
      <c r="I207" s="56"/>
      <c r="J207" s="61"/>
      <c r="K207" s="28"/>
      <c r="L207" s="28"/>
      <c r="M207" s="28"/>
      <c r="N207" s="28"/>
      <c r="O207" s="28"/>
      <c r="P207" s="61"/>
      <c r="Q207" s="28"/>
      <c r="R207" s="28"/>
      <c r="S207" s="28"/>
      <c r="T207" s="28"/>
      <c r="U207" s="379"/>
      <c r="V207" s="57"/>
    </row>
    <row r="208" spans="1:22" x14ac:dyDescent="0.25">
      <c r="D208" s="40"/>
      <c r="E208" s="66"/>
      <c r="F208" s="67"/>
      <c r="G208" s="16"/>
      <c r="H208" s="56"/>
      <c r="I208" s="56"/>
      <c r="J208" s="61"/>
      <c r="K208" s="28"/>
      <c r="L208" s="28"/>
      <c r="M208" s="28"/>
      <c r="N208" s="28"/>
      <c r="O208" s="28"/>
      <c r="P208" s="61"/>
      <c r="Q208" s="28"/>
      <c r="R208" s="28"/>
      <c r="S208" s="28"/>
      <c r="T208" s="28"/>
      <c r="U208" s="379"/>
      <c r="V208" s="57"/>
    </row>
    <row r="209" spans="4:23" x14ac:dyDescent="0.25">
      <c r="D209" s="40"/>
      <c r="E209" s="66"/>
      <c r="F209" s="67"/>
      <c r="G209" s="16"/>
      <c r="H209" s="56"/>
      <c r="I209" s="56"/>
      <c r="J209" s="61"/>
      <c r="K209" s="28"/>
      <c r="L209" s="28"/>
      <c r="M209" s="28"/>
      <c r="N209" s="28"/>
      <c r="O209" s="28"/>
      <c r="P209" s="61"/>
      <c r="Q209" s="28"/>
      <c r="R209" s="28"/>
      <c r="S209" s="28"/>
      <c r="T209" s="28"/>
      <c r="U209" s="379"/>
      <c r="V209" s="57"/>
    </row>
    <row r="210" spans="4:23" x14ac:dyDescent="0.25">
      <c r="D210" s="40"/>
      <c r="E210" s="66"/>
      <c r="F210" s="67"/>
      <c r="G210" s="16"/>
      <c r="H210" s="56"/>
      <c r="I210" s="56"/>
      <c r="J210" s="61"/>
      <c r="K210" s="28"/>
      <c r="L210" s="28"/>
      <c r="M210" s="28"/>
      <c r="N210" s="28"/>
      <c r="O210" s="28"/>
      <c r="P210" s="61"/>
      <c r="Q210" s="28"/>
      <c r="R210" s="28"/>
      <c r="S210" s="28"/>
      <c r="T210" s="28"/>
      <c r="U210" s="379"/>
      <c r="V210" s="57"/>
    </row>
    <row r="211" spans="4:23" x14ac:dyDescent="0.25">
      <c r="D211" s="40"/>
      <c r="E211" s="66"/>
      <c r="F211" s="67"/>
      <c r="G211" s="16"/>
      <c r="H211" s="56"/>
      <c r="I211" s="56"/>
      <c r="J211" s="61"/>
      <c r="K211" s="28"/>
      <c r="L211" s="28"/>
      <c r="M211" s="28"/>
      <c r="N211" s="28"/>
      <c r="O211" s="28"/>
      <c r="P211" s="61"/>
      <c r="Q211" s="28"/>
      <c r="R211" s="28"/>
      <c r="S211" s="28"/>
      <c r="T211" s="28"/>
      <c r="U211" s="379"/>
      <c r="V211" s="57"/>
    </row>
    <row r="212" spans="4:23" x14ac:dyDescent="0.25">
      <c r="D212" s="40"/>
      <c r="E212" s="66"/>
      <c r="F212" s="67"/>
      <c r="G212" s="16"/>
      <c r="H212" s="56"/>
      <c r="I212" s="56"/>
      <c r="J212" s="61"/>
      <c r="K212" s="28"/>
      <c r="L212" s="28"/>
      <c r="M212" s="28"/>
      <c r="N212" s="28"/>
      <c r="O212" s="28"/>
      <c r="P212" s="61"/>
      <c r="Q212" s="28"/>
      <c r="R212" s="28"/>
      <c r="S212" s="28"/>
      <c r="T212" s="28"/>
      <c r="U212" s="379"/>
      <c r="V212" s="57"/>
    </row>
    <row r="213" spans="4:23" x14ac:dyDescent="0.25">
      <c r="D213" s="40"/>
      <c r="E213" s="66"/>
      <c r="F213" s="67"/>
      <c r="G213" s="16"/>
      <c r="H213" s="56"/>
      <c r="I213" s="56"/>
      <c r="J213" s="61"/>
      <c r="K213" s="28"/>
      <c r="L213" s="28"/>
      <c r="M213" s="28"/>
      <c r="N213" s="28"/>
      <c r="O213" s="28"/>
      <c r="P213" s="61"/>
      <c r="Q213" s="28"/>
      <c r="R213" s="28"/>
      <c r="S213" s="28"/>
      <c r="T213" s="28"/>
      <c r="U213" s="379"/>
      <c r="V213" s="57"/>
    </row>
    <row r="214" spans="4:23" x14ac:dyDescent="0.25">
      <c r="D214" s="40"/>
      <c r="E214" s="66"/>
      <c r="F214" s="67"/>
      <c r="G214" s="16"/>
      <c r="H214" s="56"/>
      <c r="I214" s="56"/>
      <c r="J214" s="61"/>
      <c r="K214" s="28"/>
      <c r="L214" s="28"/>
      <c r="M214" s="28"/>
      <c r="N214" s="28"/>
      <c r="O214" s="28"/>
      <c r="P214" s="61"/>
      <c r="Q214" s="28"/>
      <c r="R214" s="28"/>
      <c r="S214" s="28"/>
      <c r="T214" s="28"/>
      <c r="U214" s="379"/>
      <c r="V214" s="57"/>
    </row>
    <row r="215" spans="4:23" x14ac:dyDescent="0.25">
      <c r="D215" s="40"/>
      <c r="E215" s="66"/>
      <c r="F215" s="67"/>
      <c r="G215" s="16"/>
      <c r="H215" s="56"/>
      <c r="I215" s="56"/>
      <c r="J215" s="61"/>
      <c r="K215" s="28"/>
      <c r="L215" s="28"/>
      <c r="M215" s="28"/>
      <c r="N215" s="28"/>
      <c r="O215" s="28"/>
      <c r="P215" s="61"/>
      <c r="Q215" s="28"/>
      <c r="R215" s="28"/>
      <c r="S215" s="28"/>
      <c r="T215" s="28"/>
      <c r="U215" s="379"/>
      <c r="V215" s="57"/>
    </row>
    <row r="216" spans="4:23" x14ac:dyDescent="0.25">
      <c r="D216" s="40"/>
      <c r="E216" s="66"/>
      <c r="F216" s="67"/>
      <c r="G216" s="16"/>
      <c r="H216" s="56"/>
      <c r="I216" s="56"/>
      <c r="J216" s="61"/>
      <c r="K216" s="28"/>
      <c r="L216" s="28"/>
      <c r="M216" s="28"/>
      <c r="N216" s="28"/>
      <c r="O216" s="28"/>
      <c r="P216" s="61"/>
      <c r="Q216" s="28"/>
      <c r="R216" s="28"/>
      <c r="S216" s="28"/>
      <c r="T216" s="28"/>
      <c r="U216" s="379"/>
      <c r="V216" s="57"/>
    </row>
    <row r="217" spans="4:23" x14ac:dyDescent="0.25">
      <c r="D217" s="40"/>
      <c r="E217" s="66"/>
      <c r="F217" s="67"/>
      <c r="G217" s="16"/>
      <c r="H217" s="56"/>
      <c r="I217" s="56"/>
      <c r="J217" s="61"/>
      <c r="K217" s="28"/>
      <c r="L217" s="28"/>
      <c r="M217" s="28"/>
      <c r="N217" s="28"/>
      <c r="O217" s="28"/>
      <c r="P217" s="61"/>
      <c r="Q217" s="28"/>
      <c r="R217" s="28"/>
      <c r="S217" s="28"/>
      <c r="T217" s="28"/>
      <c r="U217" s="379"/>
      <c r="V217" s="57"/>
    </row>
    <row r="218" spans="4:23" x14ac:dyDescent="0.25">
      <c r="D218" s="40"/>
      <c r="E218" s="66"/>
      <c r="F218" s="67"/>
      <c r="G218" s="16"/>
      <c r="H218" s="56"/>
      <c r="I218" s="56"/>
      <c r="J218" s="61"/>
      <c r="K218" s="28"/>
      <c r="L218" s="28"/>
      <c r="M218" s="28"/>
      <c r="N218" s="28"/>
      <c r="O218" s="28"/>
      <c r="P218" s="61"/>
      <c r="Q218" s="28"/>
      <c r="R218" s="28"/>
      <c r="S218" s="28"/>
      <c r="T218" s="28"/>
      <c r="U218" s="379"/>
      <c r="V218" s="57"/>
    </row>
    <row r="219" spans="4:23" x14ac:dyDescent="0.25">
      <c r="D219" s="40"/>
      <c r="E219" s="66"/>
      <c r="F219" s="67"/>
      <c r="G219" s="16"/>
      <c r="H219" s="56"/>
      <c r="I219" s="56"/>
      <c r="J219" s="61"/>
      <c r="K219" s="28"/>
      <c r="L219" s="28"/>
      <c r="M219" s="28"/>
      <c r="N219" s="28"/>
      <c r="O219" s="28"/>
      <c r="P219" s="61"/>
      <c r="Q219" s="28"/>
      <c r="R219" s="28"/>
      <c r="S219" s="28"/>
      <c r="T219" s="28"/>
      <c r="U219" s="379"/>
      <c r="V219" s="57"/>
    </row>
    <row r="220" spans="4:23" s="30" customFormat="1" ht="27" customHeight="1" x14ac:dyDescent="0.25">
      <c r="D220" s="587" t="s">
        <v>35</v>
      </c>
      <c r="U220" s="384"/>
      <c r="W220" s="587" t="s">
        <v>215</v>
      </c>
    </row>
    <row r="221" spans="4:23" x14ac:dyDescent="0.25">
      <c r="D221" s="40"/>
      <c r="E221" s="66"/>
      <c r="F221" s="67"/>
      <c r="G221" s="16"/>
      <c r="H221" s="56"/>
      <c r="I221" s="56"/>
      <c r="J221" s="61"/>
      <c r="K221" s="28"/>
      <c r="L221" s="28"/>
      <c r="M221" s="28"/>
      <c r="N221" s="28"/>
      <c r="O221" s="28"/>
      <c r="P221" s="61"/>
      <c r="Q221" s="28"/>
      <c r="R221" s="28"/>
      <c r="S221" s="28"/>
      <c r="T221" s="28"/>
      <c r="U221" s="379"/>
      <c r="V221" s="57"/>
    </row>
    <row r="222" spans="4:23" x14ac:dyDescent="0.25">
      <c r="D222" s="40"/>
      <c r="E222" s="66"/>
      <c r="F222" s="67"/>
      <c r="G222" s="16"/>
      <c r="H222" s="56"/>
      <c r="I222" s="56"/>
      <c r="J222" s="61"/>
      <c r="K222" s="28"/>
      <c r="L222" s="28"/>
      <c r="M222" s="28"/>
      <c r="N222" s="28"/>
      <c r="O222" s="28"/>
      <c r="P222" s="61"/>
      <c r="Q222" s="28"/>
      <c r="R222" s="28"/>
      <c r="S222" s="28"/>
      <c r="T222" s="28"/>
      <c r="U222" s="379"/>
      <c r="V222" s="57"/>
    </row>
    <row r="223" spans="4:23" x14ac:dyDescent="0.25">
      <c r="D223" s="40"/>
      <c r="E223" s="66"/>
      <c r="F223" s="67"/>
      <c r="G223" s="16"/>
      <c r="H223" s="56"/>
      <c r="I223" s="56"/>
      <c r="J223" s="61"/>
      <c r="K223" s="28"/>
      <c r="L223" s="28"/>
      <c r="M223" s="28"/>
      <c r="N223" s="28"/>
      <c r="O223" s="28"/>
      <c r="P223" s="61"/>
      <c r="Q223" s="28"/>
      <c r="R223" s="28"/>
      <c r="S223" s="28"/>
      <c r="T223" s="28"/>
      <c r="U223" s="379"/>
      <c r="V223" s="57"/>
    </row>
    <row r="224" spans="4:23" x14ac:dyDescent="0.25">
      <c r="D224" s="40"/>
      <c r="E224" s="66"/>
      <c r="F224" s="67"/>
      <c r="G224" s="16"/>
      <c r="H224" s="56"/>
      <c r="I224" s="56"/>
      <c r="J224" s="61"/>
      <c r="K224" s="28"/>
      <c r="L224" s="28"/>
      <c r="M224" s="28"/>
      <c r="N224" s="28"/>
      <c r="O224" s="28"/>
      <c r="P224" s="61"/>
      <c r="Q224" s="28"/>
      <c r="R224" s="28"/>
      <c r="S224" s="28"/>
      <c r="T224" s="28"/>
      <c r="U224" s="379"/>
      <c r="V224" s="57"/>
    </row>
    <row r="225" spans="4:22" x14ac:dyDescent="0.25">
      <c r="D225" s="40"/>
      <c r="E225" s="66"/>
      <c r="F225" s="67"/>
      <c r="G225" s="16"/>
      <c r="H225" s="56"/>
      <c r="I225" s="56"/>
      <c r="J225" s="61"/>
      <c r="K225" s="28"/>
      <c r="L225" s="28"/>
      <c r="M225" s="28"/>
      <c r="N225" s="28"/>
      <c r="O225" s="28"/>
      <c r="P225" s="61"/>
      <c r="Q225" s="28"/>
      <c r="R225" s="28"/>
      <c r="S225" s="28"/>
      <c r="T225" s="28"/>
      <c r="U225" s="379"/>
      <c r="V225" s="57"/>
    </row>
    <row r="226" spans="4:22" x14ac:dyDescent="0.25">
      <c r="D226" s="40"/>
      <c r="E226" s="66"/>
      <c r="F226" s="67"/>
      <c r="G226" s="16"/>
      <c r="H226" s="56"/>
      <c r="I226" s="56"/>
      <c r="J226" s="61"/>
      <c r="K226" s="28"/>
      <c r="L226" s="28"/>
      <c r="M226" s="28"/>
      <c r="N226" s="28"/>
      <c r="O226" s="28"/>
      <c r="P226" s="61"/>
      <c r="Q226" s="28"/>
      <c r="R226" s="28"/>
      <c r="S226" s="28"/>
      <c r="T226" s="28"/>
      <c r="U226" s="379"/>
      <c r="V226" s="57"/>
    </row>
    <row r="227" spans="4:22" ht="15" customHeight="1" x14ac:dyDescent="0.25">
      <c r="D227" s="40"/>
      <c r="E227" s="66"/>
      <c r="F227" s="67"/>
      <c r="G227" s="16"/>
      <c r="H227" s="56"/>
      <c r="I227" s="56"/>
      <c r="J227" s="61"/>
      <c r="K227" s="28"/>
      <c r="L227" s="28"/>
      <c r="M227" s="28"/>
      <c r="N227" s="28"/>
      <c r="O227" s="28"/>
      <c r="P227" s="61"/>
      <c r="Q227" s="28"/>
      <c r="R227" s="28"/>
      <c r="S227" s="28"/>
      <c r="T227" s="28"/>
      <c r="U227" s="379"/>
      <c r="V227" s="57"/>
    </row>
    <row r="228" spans="4:22" ht="15" customHeight="1" x14ac:dyDescent="0.25">
      <c r="D228" s="40"/>
      <c r="E228" s="66"/>
      <c r="F228" s="67"/>
      <c r="G228" s="16"/>
      <c r="H228" s="56"/>
      <c r="I228" s="56"/>
      <c r="J228" s="61"/>
      <c r="K228" s="28"/>
      <c r="L228" s="28"/>
      <c r="M228" s="28"/>
      <c r="N228" s="28"/>
      <c r="O228" s="28"/>
      <c r="P228" s="61"/>
      <c r="Q228" s="28"/>
      <c r="R228" s="28"/>
      <c r="S228" s="28"/>
      <c r="T228" s="28"/>
      <c r="U228" s="379"/>
      <c r="V228" s="57"/>
    </row>
    <row r="229" spans="4:22" ht="15" customHeight="1" x14ac:dyDescent="0.25">
      <c r="D229" s="40"/>
      <c r="E229" s="66"/>
      <c r="F229" s="67"/>
      <c r="G229" s="16"/>
      <c r="H229" s="56"/>
      <c r="I229" s="56"/>
      <c r="J229" s="61"/>
      <c r="K229" s="28"/>
      <c r="L229" s="28"/>
      <c r="M229" s="28"/>
      <c r="N229" s="28"/>
      <c r="O229" s="28"/>
      <c r="P229" s="61"/>
      <c r="Q229" s="28"/>
      <c r="R229" s="28"/>
      <c r="S229" s="28"/>
      <c r="T229" s="28"/>
      <c r="U229" s="379"/>
      <c r="V229" s="57"/>
    </row>
    <row r="230" spans="4:22" x14ac:dyDescent="0.25">
      <c r="D230" s="40"/>
      <c r="E230" s="66"/>
      <c r="F230" s="67"/>
      <c r="G230" s="16"/>
      <c r="H230" s="56"/>
      <c r="I230" s="56"/>
      <c r="J230" s="61"/>
      <c r="K230" s="28"/>
      <c r="L230" s="28"/>
      <c r="M230" s="28"/>
      <c r="N230" s="28"/>
      <c r="O230" s="28"/>
      <c r="P230" s="61"/>
      <c r="Q230" s="28"/>
      <c r="R230" s="28"/>
      <c r="S230" s="28"/>
      <c r="T230" s="28"/>
      <c r="U230" s="379"/>
      <c r="V230" s="57"/>
    </row>
    <row r="231" spans="4:22" x14ac:dyDescent="0.25">
      <c r="D231" s="40"/>
      <c r="E231" s="66"/>
      <c r="F231" s="67"/>
      <c r="G231" s="16"/>
      <c r="H231" s="56"/>
      <c r="I231" s="56"/>
      <c r="J231" s="61"/>
      <c r="K231" s="28"/>
      <c r="L231" s="28"/>
      <c r="M231" s="28"/>
      <c r="N231" s="28"/>
      <c r="O231" s="28"/>
      <c r="P231" s="61"/>
      <c r="Q231" s="28"/>
      <c r="R231" s="28"/>
      <c r="S231" s="28"/>
      <c r="T231" s="28"/>
      <c r="U231" s="379"/>
      <c r="V231" s="57"/>
    </row>
    <row r="232" spans="4:22" x14ac:dyDescent="0.25">
      <c r="D232" s="40"/>
      <c r="E232" s="66"/>
      <c r="F232" s="67"/>
      <c r="G232" s="16"/>
      <c r="H232" s="56"/>
      <c r="I232" s="56"/>
      <c r="J232" s="61"/>
      <c r="K232" s="28"/>
      <c r="L232" s="28"/>
      <c r="M232" s="28"/>
      <c r="N232" s="28"/>
      <c r="O232" s="28"/>
      <c r="P232" s="61"/>
      <c r="Q232" s="28"/>
      <c r="R232" s="28"/>
      <c r="S232" s="28"/>
      <c r="T232" s="28"/>
      <c r="U232" s="379"/>
      <c r="V232" s="57"/>
    </row>
    <row r="233" spans="4:22" x14ac:dyDescent="0.25">
      <c r="D233" s="40"/>
      <c r="E233" s="66"/>
      <c r="F233" s="67"/>
      <c r="G233" s="16"/>
      <c r="H233" s="56"/>
      <c r="I233" s="56"/>
      <c r="J233" s="61"/>
      <c r="K233" s="28"/>
      <c r="L233" s="28"/>
      <c r="M233" s="28"/>
      <c r="N233" s="28"/>
      <c r="O233" s="28"/>
      <c r="P233" s="61"/>
      <c r="Q233" s="28"/>
      <c r="R233" s="28"/>
      <c r="S233" s="28"/>
      <c r="T233" s="28"/>
      <c r="U233" s="379"/>
      <c r="V233" s="57"/>
    </row>
    <row r="234" spans="4:22" x14ac:dyDescent="0.25">
      <c r="D234" s="40"/>
      <c r="E234" s="66"/>
      <c r="F234" s="67"/>
      <c r="G234" s="16"/>
      <c r="H234" s="56"/>
      <c r="I234" s="56"/>
      <c r="J234" s="61"/>
      <c r="K234" s="28"/>
      <c r="L234" s="28"/>
      <c r="M234" s="28"/>
      <c r="N234" s="28"/>
      <c r="O234" s="28"/>
      <c r="P234" s="61"/>
      <c r="Q234" s="28"/>
      <c r="R234" s="28"/>
      <c r="S234" s="28"/>
      <c r="T234" s="28"/>
      <c r="U234" s="379"/>
      <c r="V234" s="57"/>
    </row>
    <row r="235" spans="4:22" x14ac:dyDescent="0.25">
      <c r="D235" s="40"/>
      <c r="E235" s="66"/>
      <c r="F235" s="67"/>
      <c r="G235" s="16"/>
      <c r="H235" s="56"/>
      <c r="I235" s="56"/>
      <c r="J235" s="61"/>
      <c r="K235" s="28"/>
      <c r="L235" s="28"/>
      <c r="M235" s="28"/>
      <c r="N235" s="28"/>
      <c r="O235" s="28"/>
      <c r="P235" s="61"/>
      <c r="Q235" s="28"/>
      <c r="R235" s="28"/>
      <c r="S235" s="28"/>
      <c r="T235" s="28"/>
      <c r="U235" s="379"/>
      <c r="V235" s="57"/>
    </row>
    <row r="236" spans="4:22" x14ac:dyDescent="0.25">
      <c r="D236" s="40"/>
      <c r="E236" s="66"/>
      <c r="F236" s="67"/>
      <c r="G236" s="16"/>
      <c r="H236" s="56"/>
      <c r="I236" s="56"/>
      <c r="J236" s="61"/>
      <c r="K236" s="28"/>
      <c r="L236" s="28"/>
      <c r="M236" s="28"/>
      <c r="N236" s="28"/>
      <c r="O236" s="28"/>
      <c r="P236" s="61"/>
      <c r="Q236" s="28"/>
      <c r="R236" s="28"/>
      <c r="S236" s="28"/>
      <c r="T236" s="28"/>
      <c r="U236" s="379"/>
      <c r="V236" s="57"/>
    </row>
    <row r="237" spans="4:22" x14ac:dyDescent="0.25">
      <c r="D237" s="40"/>
      <c r="E237" s="66"/>
      <c r="F237" s="67"/>
      <c r="G237" s="16"/>
      <c r="H237" s="56"/>
      <c r="I237" s="56"/>
      <c r="J237" s="61"/>
      <c r="K237" s="28"/>
      <c r="L237" s="28"/>
      <c r="M237" s="28"/>
      <c r="N237" s="28"/>
      <c r="O237" s="28"/>
      <c r="P237" s="61"/>
      <c r="Q237" s="28"/>
      <c r="R237" s="28"/>
      <c r="S237" s="28"/>
      <c r="T237" s="28"/>
      <c r="U237" s="379"/>
      <c r="V237" s="57"/>
    </row>
    <row r="238" spans="4:22" x14ac:dyDescent="0.25">
      <c r="D238" s="40"/>
      <c r="E238" s="66"/>
      <c r="F238" s="67"/>
      <c r="G238" s="16"/>
      <c r="H238" s="56"/>
      <c r="I238" s="56"/>
      <c r="J238" s="61"/>
      <c r="K238" s="28"/>
      <c r="L238" s="28"/>
      <c r="M238" s="28"/>
      <c r="N238" s="28"/>
      <c r="O238" s="28"/>
      <c r="P238" s="61"/>
      <c r="Q238" s="28"/>
      <c r="R238" s="28"/>
      <c r="S238" s="28"/>
      <c r="T238" s="28"/>
      <c r="U238" s="379"/>
      <c r="V238" s="57"/>
    </row>
    <row r="239" spans="4:22" x14ac:dyDescent="0.25">
      <c r="D239" s="40"/>
      <c r="E239" s="66"/>
      <c r="F239" s="67"/>
      <c r="G239" s="16"/>
      <c r="H239" s="56"/>
      <c r="I239" s="56"/>
      <c r="J239" s="61"/>
      <c r="K239" s="28"/>
      <c r="L239" s="28"/>
      <c r="M239" s="28"/>
      <c r="N239" s="28"/>
      <c r="O239" s="28"/>
      <c r="P239" s="61"/>
      <c r="Q239" s="28"/>
      <c r="R239" s="28"/>
      <c r="S239" s="28"/>
      <c r="T239" s="28"/>
      <c r="U239" s="379"/>
      <c r="V239" s="57"/>
    </row>
    <row r="240" spans="4:22" x14ac:dyDescent="0.25">
      <c r="D240" s="40"/>
      <c r="E240" s="66"/>
      <c r="F240" s="67"/>
      <c r="G240" s="16"/>
      <c r="H240" s="56"/>
      <c r="I240" s="56"/>
      <c r="J240" s="61"/>
      <c r="K240" s="28"/>
      <c r="L240" s="28"/>
      <c r="M240" s="28"/>
      <c r="N240" s="28"/>
      <c r="O240" s="28"/>
      <c r="P240" s="61"/>
      <c r="Q240" s="28"/>
      <c r="R240" s="28"/>
      <c r="S240" s="28"/>
      <c r="T240" s="28"/>
      <c r="U240" s="379"/>
      <c r="V240" s="57"/>
    </row>
    <row r="241" spans="1:38" x14ac:dyDescent="0.25">
      <c r="D241" s="40"/>
      <c r="E241" s="66"/>
      <c r="F241" s="67"/>
      <c r="G241" s="16"/>
      <c r="H241" s="56"/>
      <c r="I241" s="56"/>
      <c r="J241" s="61"/>
      <c r="K241" s="28"/>
      <c r="L241" s="28"/>
      <c r="M241" s="28"/>
      <c r="N241" s="28"/>
      <c r="O241" s="28"/>
      <c r="P241" s="61"/>
      <c r="Q241" s="28"/>
      <c r="R241" s="28"/>
      <c r="S241" s="28"/>
      <c r="T241" s="28"/>
      <c r="U241" s="379"/>
      <c r="V241" s="57"/>
    </row>
    <row r="242" spans="1:38" x14ac:dyDescent="0.25">
      <c r="D242" s="40"/>
      <c r="E242" s="66"/>
      <c r="F242" s="67"/>
      <c r="G242" s="16"/>
      <c r="H242" s="56"/>
      <c r="I242" s="56"/>
      <c r="J242" s="61"/>
      <c r="K242" s="28"/>
      <c r="L242" s="28"/>
      <c r="M242" s="28"/>
      <c r="N242" s="28"/>
      <c r="O242" s="28"/>
      <c r="P242" s="61"/>
      <c r="Q242" s="28"/>
      <c r="R242" s="28"/>
      <c r="S242" s="28"/>
      <c r="T242" s="28"/>
      <c r="U242" s="379"/>
      <c r="V242" s="57"/>
    </row>
    <row r="243" spans="1:38" x14ac:dyDescent="0.25">
      <c r="D243" s="40"/>
      <c r="E243" s="66"/>
      <c r="F243" s="67"/>
      <c r="G243" s="16"/>
      <c r="H243" s="56"/>
      <c r="I243" s="56"/>
      <c r="J243" s="61"/>
      <c r="K243" s="28"/>
      <c r="L243" s="28"/>
      <c r="M243" s="28"/>
      <c r="N243" s="28"/>
      <c r="O243" s="28"/>
      <c r="P243" s="61"/>
      <c r="Q243" s="28"/>
      <c r="R243" s="28"/>
      <c r="S243" s="28"/>
      <c r="T243" s="28"/>
      <c r="U243" s="379"/>
      <c r="V243" s="57"/>
    </row>
    <row r="244" spans="1:38" x14ac:dyDescent="0.25">
      <c r="D244" s="40"/>
      <c r="E244" s="66"/>
      <c r="F244" s="67"/>
      <c r="G244" s="16"/>
      <c r="H244" s="56"/>
      <c r="I244" s="56"/>
      <c r="J244" s="61"/>
      <c r="K244" s="28"/>
      <c r="L244" s="28"/>
      <c r="M244" s="28"/>
      <c r="N244" s="28"/>
      <c r="O244" s="28"/>
      <c r="P244" s="61"/>
      <c r="Q244" s="28"/>
      <c r="R244" s="28"/>
      <c r="S244" s="28"/>
      <c r="T244" s="28"/>
      <c r="U244" s="379"/>
      <c r="V244" s="57"/>
    </row>
    <row r="245" spans="1:38" x14ac:dyDescent="0.25">
      <c r="D245" s="40"/>
      <c r="E245" s="66"/>
      <c r="F245" s="67"/>
      <c r="G245" s="16"/>
      <c r="H245" s="56"/>
      <c r="I245" s="56"/>
      <c r="J245" s="61"/>
      <c r="K245" s="28"/>
      <c r="L245" s="28"/>
      <c r="M245" s="28"/>
      <c r="N245" s="28"/>
      <c r="O245" s="28"/>
      <c r="P245" s="61"/>
      <c r="Q245" s="28"/>
      <c r="R245" s="28"/>
      <c r="S245" s="28"/>
      <c r="T245" s="28"/>
      <c r="U245" s="379"/>
      <c r="V245" s="57"/>
    </row>
    <row r="246" spans="1:38" x14ac:dyDescent="0.25">
      <c r="D246" s="40"/>
      <c r="E246" s="66"/>
      <c r="F246" s="67"/>
      <c r="G246" s="16"/>
      <c r="H246" s="56"/>
      <c r="I246" s="56"/>
      <c r="J246" s="61"/>
      <c r="K246" s="28"/>
      <c r="L246" s="28"/>
      <c r="M246" s="28"/>
      <c r="N246" s="28"/>
      <c r="O246" s="28"/>
      <c r="P246" s="61"/>
      <c r="Q246" s="28"/>
      <c r="R246" s="28"/>
      <c r="S246" s="28"/>
      <c r="T246" s="28"/>
      <c r="U246" s="379"/>
      <c r="V246" s="57"/>
    </row>
    <row r="247" spans="1:38" x14ac:dyDescent="0.25">
      <c r="D247" s="40"/>
      <c r="E247" s="66"/>
      <c r="F247" s="67"/>
      <c r="G247" s="16"/>
      <c r="H247" s="56"/>
      <c r="I247" s="56"/>
      <c r="J247" s="61"/>
      <c r="K247" s="28"/>
      <c r="L247" s="28"/>
      <c r="M247" s="28"/>
      <c r="N247" s="28"/>
      <c r="O247" s="28"/>
      <c r="P247" s="61"/>
      <c r="Q247" s="28"/>
      <c r="R247" s="28"/>
      <c r="S247" s="28"/>
      <c r="T247" s="28"/>
      <c r="U247" s="379"/>
      <c r="V247" s="57"/>
    </row>
    <row r="248" spans="1:38" s="18" customFormat="1" ht="83.25" customHeight="1" x14ac:dyDescent="0.25">
      <c r="D248" s="18" t="s">
        <v>287</v>
      </c>
      <c r="U248" s="387"/>
      <c r="W248" s="18" t="s">
        <v>227</v>
      </c>
      <c r="AI248" s="19"/>
      <c r="AJ248" s="19"/>
      <c r="AK248" s="19"/>
      <c r="AL248" s="19"/>
    </row>
    <row r="249" spans="1:38" x14ac:dyDescent="0.25">
      <c r="U249" s="377"/>
    </row>
    <row r="250" spans="1:38" ht="18" customHeight="1" x14ac:dyDescent="0.25">
      <c r="D250" s="693" t="str">
        <f>"Losun árið "&amp;$B$2&amp;" í samanburði við losun fyrri ára"</f>
        <v>Losun árið 2023 í samanburði við losun fyrri ára</v>
      </c>
      <c r="E250" s="693"/>
      <c r="F250" s="693"/>
      <c r="G250" s="693"/>
      <c r="H250" s="693"/>
      <c r="I250" s="693"/>
      <c r="J250" s="693"/>
      <c r="U250" s="377"/>
      <c r="W250" s="693" t="str">
        <f>"Emissions in "&amp;$B$2&amp;" compared to emissions in previous years"</f>
        <v>Emissions in 2023 compared to emissions in previous years</v>
      </c>
      <c r="X250" s="693"/>
      <c r="Y250" s="693"/>
      <c r="Z250" s="693"/>
      <c r="AA250" s="693"/>
      <c r="AB250" s="693"/>
      <c r="AC250" s="693"/>
    </row>
    <row r="251" spans="1:38" ht="14.45" customHeight="1" x14ac:dyDescent="0.25">
      <c r="D251" s="210"/>
      <c r="E251" s="678" t="str">
        <f>"Losun "&amp;$B$2</f>
        <v>Losun 2023</v>
      </c>
      <c r="F251" s="679"/>
      <c r="G251" s="678" t="str">
        <f>"Breyting frá "&amp;$B$3</f>
        <v>Breyting frá 2022</v>
      </c>
      <c r="H251" s="679"/>
      <c r="I251" s="678" t="str">
        <f>"Breyting frá "&amp;$B$5</f>
        <v>Breyting frá 2005</v>
      </c>
      <c r="J251" s="680"/>
      <c r="U251" s="377"/>
      <c r="W251" s="210"/>
      <c r="X251" s="694" t="str">
        <f>"Emissions in "&amp;$B$2</f>
        <v>Emissions in 2023</v>
      </c>
      <c r="Y251" s="695"/>
      <c r="Z251" s="694" t="str">
        <f>"Change from "&amp;$B$3</f>
        <v>Change from 2022</v>
      </c>
      <c r="AA251" s="695"/>
      <c r="AB251" s="694" t="str">
        <f>"Change from "&amp;$B$5</f>
        <v>Change from 2005</v>
      </c>
      <c r="AC251" s="696"/>
    </row>
    <row r="252" spans="1:38" ht="15" customHeight="1" x14ac:dyDescent="0.25">
      <c r="D252" s="210"/>
      <c r="E252" s="38" t="s">
        <v>5</v>
      </c>
      <c r="F252" s="106" t="s">
        <v>4</v>
      </c>
      <c r="G252" s="38" t="s">
        <v>5</v>
      </c>
      <c r="H252" s="106" t="s">
        <v>4</v>
      </c>
      <c r="I252" s="38" t="s">
        <v>5</v>
      </c>
      <c r="J252" s="38" t="s">
        <v>4</v>
      </c>
      <c r="U252" s="377"/>
      <c r="W252" s="210"/>
      <c r="X252" s="38" t="s">
        <v>216</v>
      </c>
      <c r="Y252" s="106" t="s">
        <v>4</v>
      </c>
      <c r="Z252" s="38" t="s">
        <v>216</v>
      </c>
      <c r="AA252" s="106" t="s">
        <v>4</v>
      </c>
      <c r="AB252" s="38" t="s">
        <v>216</v>
      </c>
      <c r="AC252" s="106" t="s">
        <v>4</v>
      </c>
    </row>
    <row r="253" spans="1:38" ht="22.35" customHeight="1" x14ac:dyDescent="0.25">
      <c r="A253" s="258" t="s">
        <v>88</v>
      </c>
      <c r="C253" s="255" t="s">
        <v>56</v>
      </c>
      <c r="D253" s="81" t="str">
        <f>'Talnagögn | Numerical Data'!$D$93</f>
        <v>Skógar</v>
      </c>
      <c r="E253" s="34" cm="1">
        <f t="array" ref="E253">INDEX('Talnagögn | Numerical Data'!$1:$1048576,_xlfn.XMATCH($A253,'Talnagögn | Numerical Data'!$A:$A),_xlfn.XMATCH($B$2,'Talnagögn | Numerical Data'!$91:$91))</f>
        <v>-553.69612674802886</v>
      </c>
      <c r="F253" s="98">
        <f>$E253/$E$258</f>
        <v>-6.8845096594576161E-2</v>
      </c>
      <c r="G253" s="73" cm="1">
        <f t="array" ref="G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_xlfn.XMATCH($B$3,'Talnagögn | Numerical Data'!$91:$91))</f>
        <v>-19.717159439565989</v>
      </c>
      <c r="H253" s="119" cm="1">
        <f t="array" ref="H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_xlfn.XMATCH($B$3,'Talnagögn | Numerical Data'!$91:$91))-1</f>
        <v>3.6924973916015791E-2</v>
      </c>
      <c r="I253" s="73" cm="1">
        <f t="array" ref="I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_xlfn.XMATCH($B$5,'Talnagögn | Numerical Data'!$91:$91))</f>
        <v>-413.41408579527968</v>
      </c>
      <c r="J253" s="72" cm="1">
        <f t="array" ref="J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_xlfn.XMATCH($B$5,'Talnagögn | Numerical Data'!$91:$91))-1</f>
        <v>2.9470207518190352</v>
      </c>
      <c r="U253" s="377"/>
      <c r="W253" s="376" t="str">
        <f>'Talnagögn | Numerical Data'!$E$93</f>
        <v>Forest Land</v>
      </c>
      <c r="X253" s="34" cm="1">
        <f t="array" ref="X253">INDEX('Talnagögn | Numerical Data'!$1:$1048576,_xlfn.XMATCH($A253,'Talnagögn | Numerical Data'!$A:$A),_xlfn.XMATCH($B$2,'Talnagögn | Numerical Data'!$91:$91))</f>
        <v>-553.69612674802886</v>
      </c>
      <c r="Y253" s="98">
        <f>$E253/$E$258</f>
        <v>-6.8845096594576161E-2</v>
      </c>
      <c r="Z253" s="73" cm="1">
        <f t="array" ref="Z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_xlfn.XMATCH($B$3,'Talnagögn | Numerical Data'!$91:$91))</f>
        <v>-19.717159439565989</v>
      </c>
      <c r="AA253" s="119" cm="1">
        <f t="array" ref="AA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_xlfn.XMATCH($B$3,'Talnagögn | Numerical Data'!$91:$91))-1</f>
        <v>3.6924973916015791E-2</v>
      </c>
      <c r="AB253" s="73" cm="1">
        <f t="array" ref="AB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_xlfn.XMATCH($B$5,'Talnagögn | Numerical Data'!$91:$91))</f>
        <v>-413.41408579527968</v>
      </c>
      <c r="AC253" s="72" cm="1">
        <f t="array" ref="AC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_xlfn.XMATCH($B$5,'Talnagögn | Numerical Data'!$91:$91))-1</f>
        <v>2.9470207518190352</v>
      </c>
    </row>
    <row r="254" spans="1:38" ht="22.35" customHeight="1" x14ac:dyDescent="0.25">
      <c r="A254" s="258" t="s">
        <v>89</v>
      </c>
      <c r="D254" s="376" t="str">
        <f>'Talnagögn | Numerical Data'!$D$94</f>
        <v>Ræktað land</v>
      </c>
      <c r="E254" s="34" cm="1">
        <f t="array" ref="E254">INDEX('Talnagögn | Numerical Data'!$1:$1048576,_xlfn.XMATCH($A254,'Talnagögn | Numerical Data'!$A:$A),_xlfn.XMATCH($B$2,'Talnagögn | Numerical Data'!$91:$91))</f>
        <v>1935.5468363725449</v>
      </c>
      <c r="F254" s="76">
        <f t="shared" ref="F254:F257" si="5">$E254/$E$258</f>
        <v>0.24066072070255554</v>
      </c>
      <c r="G254" s="69" cm="1">
        <f t="array" ref="G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_xlfn.XMATCH($B$3,'Talnagögn | Numerical Data'!$91:$91))</f>
        <v>19.697988526817198</v>
      </c>
      <c r="H254" s="119" cm="1">
        <f t="array" ref="H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_xlfn.XMATCH($B$3,'Talnagögn | Numerical Data'!$91:$91))-1</f>
        <v>1.02815984407989E-2</v>
      </c>
      <c r="I254" s="34" cm="1">
        <f t="array" ref="I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_xlfn.XMATCH($B$5,'Talnagögn | Numerical Data'!$91:$91))</f>
        <v>364.10146858054554</v>
      </c>
      <c r="J254" s="843" cm="1">
        <f t="array" ref="J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_xlfn.XMATCH($B$5,'Talnagögn | Numerical Data'!$91:$91))-1</f>
        <v>0.23169845802029743</v>
      </c>
      <c r="U254" s="377"/>
      <c r="W254" s="376" t="str">
        <f>'Talnagögn | Numerical Data'!$E$94</f>
        <v>Cropland</v>
      </c>
      <c r="X254" s="34" cm="1">
        <f t="array" ref="X254">INDEX('Talnagögn | Numerical Data'!$1:$1048576,_xlfn.XMATCH($A254,'Talnagögn | Numerical Data'!$A:$A),_xlfn.XMATCH($B$2,'Talnagögn | Numerical Data'!$91:$91))</f>
        <v>1935.5468363725449</v>
      </c>
      <c r="Y254" s="76">
        <f t="shared" ref="Y254:Y257" si="6">$E254/$E$258</f>
        <v>0.24066072070255554</v>
      </c>
      <c r="Z254" s="69" cm="1">
        <f t="array" ref="Z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_xlfn.XMATCH($B$3,'Talnagögn | Numerical Data'!$91:$91))</f>
        <v>19.697988526817198</v>
      </c>
      <c r="AA254" s="119" cm="1">
        <f t="array" ref="AA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_xlfn.XMATCH($B$3,'Talnagögn | Numerical Data'!$91:$91))-1</f>
        <v>1.02815984407989E-2</v>
      </c>
      <c r="AB254" s="34" cm="1">
        <f t="array" ref="AB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_xlfn.XMATCH($B$5,'Talnagögn | Numerical Data'!$91:$91))</f>
        <v>364.10146858054554</v>
      </c>
      <c r="AC254" s="843" cm="1">
        <f t="array" ref="AC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_xlfn.XMATCH($B$5,'Talnagögn | Numerical Data'!$91:$91))-1</f>
        <v>0.23169845802029743</v>
      </c>
    </row>
    <row r="255" spans="1:38" ht="22.35" customHeight="1" x14ac:dyDescent="0.25">
      <c r="A255" s="258" t="s">
        <v>90</v>
      </c>
      <c r="D255" s="81" t="str">
        <f>'Talnagögn | Numerical Data'!$D$95</f>
        <v>Mólendi</v>
      </c>
      <c r="E255" s="34" cm="1">
        <f t="array" ref="E255">INDEX('Talnagögn | Numerical Data'!$1:$1048576,_xlfn.XMATCH($A255,'Talnagögn | Numerical Data'!$A:$A),_xlfn.XMATCH($B$2,'Talnagögn | Numerical Data'!$91:$91))</f>
        <v>5915.6518862431958</v>
      </c>
      <c r="F255" s="76">
        <f t="shared" si="5"/>
        <v>0.73553634539624191</v>
      </c>
      <c r="G255" s="64" cm="1">
        <f t="array" ref="G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_xlfn.XMATCH($B$3,'Talnagögn | Numerical Data'!$91:$91))</f>
        <v>8.8149455416833007</v>
      </c>
      <c r="H255" s="127" cm="1">
        <f t="array" ref="H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_xlfn.XMATCH($B$3,'Talnagögn | Numerical Data'!$91:$91))-1</f>
        <v>1.4923292500159668E-3</v>
      </c>
      <c r="I255" s="34" cm="1">
        <f t="array" ref="I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_xlfn.XMATCH($B$5,'Talnagögn | Numerical Data'!$91:$91))</f>
        <v>89.843776292706025</v>
      </c>
      <c r="J255" s="61" cm="1">
        <f t="array" ref="J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_xlfn.XMATCH($B$5,'Talnagögn | Numerical Data'!$91:$91))-1</f>
        <v>1.542168478554129E-2</v>
      </c>
      <c r="U255" s="377"/>
      <c r="W255" s="376" t="str">
        <f>'Talnagögn | Numerical Data'!$E$95</f>
        <v>Grassland</v>
      </c>
      <c r="X255" s="34" cm="1">
        <f t="array" ref="X255">INDEX('Talnagögn | Numerical Data'!$1:$1048576,_xlfn.XMATCH($A255,'Talnagögn | Numerical Data'!$A:$A),_xlfn.XMATCH($B$2,'Talnagögn | Numerical Data'!$91:$91))</f>
        <v>5915.6518862431958</v>
      </c>
      <c r="Y255" s="76">
        <f t="shared" si="6"/>
        <v>0.73553634539624191</v>
      </c>
      <c r="Z255" s="64" cm="1">
        <f t="array" ref="Z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_xlfn.XMATCH($B$3,'Talnagögn | Numerical Data'!$91:$91))</f>
        <v>8.8149455416833007</v>
      </c>
      <c r="AA255" s="127" cm="1">
        <f t="array" ref="AA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_xlfn.XMATCH($B$3,'Talnagögn | Numerical Data'!$91:$91))-1</f>
        <v>1.4923292500159668E-3</v>
      </c>
      <c r="AB255" s="34" cm="1">
        <f t="array" ref="AB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_xlfn.XMATCH($B$5,'Talnagögn | Numerical Data'!$91:$91))</f>
        <v>89.843776292706025</v>
      </c>
      <c r="AC255" s="61" cm="1">
        <f t="array" ref="AC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_xlfn.XMATCH($B$5,'Talnagögn | Numerical Data'!$91:$91))-1</f>
        <v>1.542168478554129E-2</v>
      </c>
    </row>
    <row r="256" spans="1:38" ht="22.35" customHeight="1" x14ac:dyDescent="0.25">
      <c r="A256" s="258" t="s">
        <v>91</v>
      </c>
      <c r="D256" s="81" t="str">
        <f>'Talnagögn | Numerical Data'!$D$96</f>
        <v>Votlendi</v>
      </c>
      <c r="E256" s="34" cm="1">
        <f t="array" ref="E256">INDEX('Talnagögn | Numerical Data'!$1:$1048576,_xlfn.XMATCH($A256,'Talnagögn | Numerical Data'!$A:$A),_xlfn.XMATCH($B$2,'Talnagögn | Numerical Data'!$91:$91))</f>
        <v>698.9675492047254</v>
      </c>
      <c r="F256" s="98">
        <f t="shared" si="5"/>
        <v>8.6907757011223843E-2</v>
      </c>
      <c r="G256" s="64" cm="1">
        <f t="array" ref="G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_xlfn.XMATCH($B$3,'Talnagögn | Numerical Data'!$91:$91))</f>
        <v>-3.7081434718511446</v>
      </c>
      <c r="H256" s="127" cm="1">
        <f t="array" ref="H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_xlfn.XMATCH($B$3,'Talnagögn | Numerical Data'!$91:$91))-1</f>
        <v>-5.2771762428929225E-3</v>
      </c>
      <c r="I256" s="34" cm="1">
        <f t="array" ref="I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_xlfn.XMATCH($B$5,'Talnagögn | Numerical Data'!$91:$91))</f>
        <v>-84.756553322798709</v>
      </c>
      <c r="J256" s="843" cm="1">
        <f t="array" ref="J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_xlfn.XMATCH($B$5,'Talnagögn | Numerical Data'!$91:$91))-1</f>
        <v>-0.10814590625636922</v>
      </c>
      <c r="U256" s="377"/>
      <c r="W256" s="376" t="str">
        <f>'Talnagögn | Numerical Data'!$E$96</f>
        <v>Wetlands</v>
      </c>
      <c r="X256" s="34" cm="1">
        <f t="array" ref="X256">INDEX('Talnagögn | Numerical Data'!$1:$1048576,_xlfn.XMATCH($A256,'Talnagögn | Numerical Data'!$A:$A),_xlfn.XMATCH($B$2,'Talnagögn | Numerical Data'!$91:$91))</f>
        <v>698.9675492047254</v>
      </c>
      <c r="Y256" s="98">
        <f t="shared" si="6"/>
        <v>8.6907757011223843E-2</v>
      </c>
      <c r="Z256" s="64" cm="1">
        <f t="array" ref="Z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_xlfn.XMATCH($B$3,'Talnagögn | Numerical Data'!$91:$91))</f>
        <v>-3.7081434718511446</v>
      </c>
      <c r="AA256" s="127" cm="1">
        <f t="array" ref="AA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_xlfn.XMATCH($B$3,'Talnagögn | Numerical Data'!$91:$91))-1</f>
        <v>-5.2771762428929225E-3</v>
      </c>
      <c r="AB256" s="34" cm="1">
        <f t="array" ref="AB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_xlfn.XMATCH($B$5,'Talnagögn | Numerical Data'!$91:$91))</f>
        <v>-84.756553322798709</v>
      </c>
      <c r="AC256" s="843" cm="1">
        <f t="array" ref="AC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_xlfn.XMATCH($B$5,'Talnagögn | Numerical Data'!$91:$91))-1</f>
        <v>-0.10814590625636922</v>
      </c>
    </row>
    <row r="257" spans="1:29" ht="22.35" customHeight="1" x14ac:dyDescent="0.25">
      <c r="A257" s="258" t="s">
        <v>117</v>
      </c>
      <c r="D257" s="209" t="str">
        <f>'Talnagögn | Numerical Data'!$D$97</f>
        <v>Önnur losun</v>
      </c>
      <c r="E257" s="70" cm="1">
        <f t="array" ref="E257">INDEX('Talnagögn | Numerical Data'!$1:$1048576,_xlfn.XMATCH($A257,'Talnagögn | Numerical Data'!$A:$A),_xlfn.XMATCH($B$2,'Talnagögn | Numerical Data'!$91:$91))</f>
        <v>46.166936384584915</v>
      </c>
      <c r="F257" s="263">
        <f t="shared" si="5"/>
        <v>5.7402734845547953E-3</v>
      </c>
      <c r="G257" s="118" cm="1">
        <f t="array" ref="G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_xlfn.XMATCH($B$3,'Talnagögn | Numerical Data'!$91:$91))</f>
        <v>-6.0018748480733848</v>
      </c>
      <c r="H257" s="841" cm="1">
        <f t="array" ref="H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_xlfn.XMATCH($B$3,'Talnagögn | Numerical Data'!$91:$91))-1</f>
        <v>-0.11504718444333917</v>
      </c>
      <c r="I257" s="842" cm="1">
        <f t="array" ref="I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_xlfn.XMATCH($B$5,'Talnagögn | Numerical Data'!$91:$91))</f>
        <v>-7.4530320827443575</v>
      </c>
      <c r="J257" s="75" cm="1">
        <f t="array" ref="J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_xlfn.XMATCH($B$5,'Talnagögn | Numerical Data'!$91:$91))-1</f>
        <v>-0.13899732312012647</v>
      </c>
      <c r="U257" s="377"/>
      <c r="W257" s="265" t="str">
        <f>'Talnagögn | Numerical Data'!$E$97</f>
        <v>Other Emissions</v>
      </c>
      <c r="X257" s="70" cm="1">
        <f t="array" ref="X257">INDEX('Talnagögn | Numerical Data'!$1:$1048576,_xlfn.XMATCH($A257,'Talnagögn | Numerical Data'!$A:$A),_xlfn.XMATCH($B$2,'Talnagögn | Numerical Data'!$91:$91))</f>
        <v>46.166936384584915</v>
      </c>
      <c r="Y257" s="263">
        <f t="shared" si="6"/>
        <v>5.7402734845547953E-3</v>
      </c>
      <c r="Z257" s="118" cm="1">
        <f t="array" ref="Z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_xlfn.XMATCH($B$3,'Talnagögn | Numerical Data'!$91:$91))</f>
        <v>-6.0018748480733848</v>
      </c>
      <c r="AA257" s="841" cm="1">
        <f t="array" ref="AA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_xlfn.XMATCH($B$3,'Talnagögn | Numerical Data'!$91:$91))-1</f>
        <v>-0.11504718444333917</v>
      </c>
      <c r="AB257" s="842" cm="1">
        <f t="array" ref="AB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_xlfn.XMATCH($B$5,'Talnagögn | Numerical Data'!$91:$91))</f>
        <v>-7.4530320827443575</v>
      </c>
      <c r="AC257" s="75" cm="1">
        <f t="array" ref="AC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_xlfn.XMATCH($B$5,'Talnagögn | Numerical Data'!$91:$91))-1</f>
        <v>-0.13899732312012647</v>
      </c>
    </row>
    <row r="258" spans="1:29" ht="24" customHeight="1" x14ac:dyDescent="0.25">
      <c r="A258" s="258" t="s">
        <v>53</v>
      </c>
      <c r="D258" s="74" t="s">
        <v>13</v>
      </c>
      <c r="E258" s="97" cm="1">
        <f t="array" ref="E258">INDEX('Talnagögn | Numerical Data'!$1:$1048576,_xlfn.XMATCH($A258,'Talnagögn | Numerical Data'!$A:$A),_xlfn.XMATCH($B$2,'Talnagögn | Numerical Data'!$91:$91))</f>
        <v>8042.6370814570228</v>
      </c>
      <c r="F258" s="84">
        <f>SUM(F253:F257)</f>
        <v>0.99999999999999989</v>
      </c>
      <c r="G258" s="839" cm="1">
        <f t="array" ref="G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_xlfn.XMATCH($B$3,'Talnagögn | Numerical Data'!$91:$91))</f>
        <v>-0.91424369098967873</v>
      </c>
      <c r="H258" s="840" cm="1">
        <f t="array" ref="H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_xlfn.XMATCH($B$3,'Talnagögn | Numerical Data'!$91:$91))-1</f>
        <v>-1.1366169668503012E-4</v>
      </c>
      <c r="I258" s="66" cm="1">
        <f t="array" ref="I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_xlfn.XMATCH($B$5,'Talnagögn | Numerical Data'!$91:$91))</f>
        <v>-51.678426327570378</v>
      </c>
      <c r="J258" s="657" cm="1">
        <f t="array" ref="J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_xlfn.XMATCH($B$5,'Talnagögn | Numerical Data'!$91:$91))-1</f>
        <v>-6.3845332292605805E-3</v>
      </c>
      <c r="U258" s="377"/>
      <c r="W258" s="74" t="s">
        <v>211</v>
      </c>
      <c r="X258" s="97" cm="1">
        <f t="array" ref="X258">INDEX('Talnagögn | Numerical Data'!$1:$1048576,_xlfn.XMATCH($A258,'Talnagögn | Numerical Data'!$A:$A),_xlfn.XMATCH($B$2,'Talnagögn | Numerical Data'!$91:$91))</f>
        <v>8042.6370814570228</v>
      </c>
      <c r="Y258" s="84">
        <f>SUM(Y253:Y257)</f>
        <v>0.99999999999999989</v>
      </c>
      <c r="Z258" s="839" cm="1">
        <f t="array" ref="Z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_xlfn.XMATCH($B$3,'Talnagögn | Numerical Data'!$91:$91))</f>
        <v>-0.91424369098967873</v>
      </c>
      <c r="AA258" s="840" cm="1">
        <f t="array" ref="AA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_xlfn.XMATCH($B$3,'Talnagögn | Numerical Data'!$91:$91))-1</f>
        <v>-1.1366169668503012E-4</v>
      </c>
      <c r="AB258" s="66" cm="1">
        <f t="array" ref="AB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_xlfn.XMATCH($B$5,'Talnagögn | Numerical Data'!$91:$91))</f>
        <v>-51.678426327570378</v>
      </c>
      <c r="AC258" s="657" cm="1">
        <f t="array" ref="AC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_xlfn.XMATCH($B$5,'Talnagögn | Numerical Data'!$91:$91))-1</f>
        <v>-6.3845332292605805E-3</v>
      </c>
    </row>
    <row r="259" spans="1:29" x14ac:dyDescent="0.25">
      <c r="U259" s="377"/>
    </row>
    <row r="260" spans="1:29" x14ac:dyDescent="0.25">
      <c r="K260" s="674"/>
      <c r="U260" s="377"/>
    </row>
    <row r="261" spans="1:29" x14ac:dyDescent="0.25">
      <c r="U261" s="377"/>
    </row>
    <row r="262" spans="1:29" x14ac:dyDescent="0.25">
      <c r="U262" s="377"/>
    </row>
    <row r="263" spans="1:29" x14ac:dyDescent="0.25">
      <c r="U263" s="377"/>
    </row>
    <row r="264" spans="1:29" x14ac:dyDescent="0.25">
      <c r="U264" s="377"/>
    </row>
    <row r="265" spans="1:29" x14ac:dyDescent="0.25">
      <c r="U265" s="377"/>
    </row>
    <row r="266" spans="1:29" x14ac:dyDescent="0.25">
      <c r="U266" s="377"/>
    </row>
    <row r="267" spans="1:29" x14ac:dyDescent="0.25">
      <c r="U267" s="377"/>
    </row>
    <row r="268" spans="1:29" x14ac:dyDescent="0.25">
      <c r="U268" s="377"/>
    </row>
    <row r="269" spans="1:29" x14ac:dyDescent="0.25">
      <c r="U269" s="377"/>
    </row>
    <row r="270" spans="1:29" x14ac:dyDescent="0.25">
      <c r="U270" s="377"/>
    </row>
    <row r="271" spans="1:29" x14ac:dyDescent="0.25">
      <c r="U271" s="377"/>
    </row>
    <row r="272" spans="1:29" x14ac:dyDescent="0.25">
      <c r="U272" s="377"/>
    </row>
    <row r="273" spans="4:23" x14ac:dyDescent="0.25">
      <c r="U273" s="377"/>
    </row>
    <row r="274" spans="4:23" x14ac:dyDescent="0.25">
      <c r="U274" s="377"/>
    </row>
    <row r="275" spans="4:23" x14ac:dyDescent="0.25">
      <c r="U275" s="377"/>
    </row>
    <row r="276" spans="4:23" x14ac:dyDescent="0.25">
      <c r="U276" s="377"/>
    </row>
    <row r="277" spans="4:23" x14ac:dyDescent="0.25">
      <c r="U277" s="377"/>
    </row>
    <row r="278" spans="4:23" x14ac:dyDescent="0.25">
      <c r="U278" s="377"/>
    </row>
    <row r="279" spans="4:23" x14ac:dyDescent="0.25">
      <c r="U279" s="377"/>
    </row>
    <row r="280" spans="4:23" x14ac:dyDescent="0.25">
      <c r="U280" s="377"/>
    </row>
    <row r="281" spans="4:23" x14ac:dyDescent="0.25">
      <c r="U281" s="377"/>
    </row>
    <row r="282" spans="4:23" x14ac:dyDescent="0.25">
      <c r="U282" s="377"/>
    </row>
    <row r="283" spans="4:23" x14ac:dyDescent="0.25">
      <c r="U283" s="377"/>
    </row>
    <row r="284" spans="4:23" x14ac:dyDescent="0.25">
      <c r="U284" s="377"/>
    </row>
    <row r="285" spans="4:23" x14ac:dyDescent="0.25">
      <c r="U285" s="377"/>
    </row>
    <row r="286" spans="4:23" s="32" customFormat="1" ht="27" customHeight="1" x14ac:dyDescent="0.25">
      <c r="D286" s="588" t="s">
        <v>35</v>
      </c>
      <c r="U286" s="388"/>
      <c r="W286" s="588" t="s">
        <v>215</v>
      </c>
    </row>
    <row r="287" spans="4:23" x14ac:dyDescent="0.25">
      <c r="U287" s="377"/>
    </row>
    <row r="288" spans="4:23" x14ac:dyDescent="0.25">
      <c r="U288" s="377"/>
    </row>
    <row r="289" spans="21:21" x14ac:dyDescent="0.25">
      <c r="U289" s="377"/>
    </row>
    <row r="290" spans="21:21" x14ac:dyDescent="0.25">
      <c r="U290" s="377"/>
    </row>
    <row r="291" spans="21:21" x14ac:dyDescent="0.25">
      <c r="U291" s="377"/>
    </row>
    <row r="292" spans="21:21" x14ac:dyDescent="0.25">
      <c r="U292" s="377"/>
    </row>
    <row r="293" spans="21:21" ht="15" customHeight="1" x14ac:dyDescent="0.25">
      <c r="U293" s="377"/>
    </row>
    <row r="294" spans="21:21" ht="15" customHeight="1" x14ac:dyDescent="0.25">
      <c r="U294" s="377"/>
    </row>
    <row r="295" spans="21:21" ht="15" customHeight="1" x14ac:dyDescent="0.25">
      <c r="U295" s="377"/>
    </row>
    <row r="296" spans="21:21" x14ac:dyDescent="0.25">
      <c r="U296" s="377"/>
    </row>
    <row r="297" spans="21:21" x14ac:dyDescent="0.25">
      <c r="U297" s="377"/>
    </row>
    <row r="298" spans="21:21" x14ac:dyDescent="0.25">
      <c r="U298" s="377"/>
    </row>
    <row r="299" spans="21:21" x14ac:dyDescent="0.25">
      <c r="U299" s="377"/>
    </row>
    <row r="300" spans="21:21" x14ac:dyDescent="0.25">
      <c r="U300" s="377"/>
    </row>
    <row r="301" spans="21:21" x14ac:dyDescent="0.25">
      <c r="U301" s="377"/>
    </row>
    <row r="302" spans="21:21" x14ac:dyDescent="0.25">
      <c r="U302" s="377"/>
    </row>
    <row r="303" spans="21:21" x14ac:dyDescent="0.25">
      <c r="U303" s="377"/>
    </row>
    <row r="304" spans="21:21" x14ac:dyDescent="0.25">
      <c r="U304" s="377"/>
    </row>
    <row r="305" spans="1:38" x14ac:dyDescent="0.25">
      <c r="U305" s="377"/>
    </row>
    <row r="306" spans="1:38" x14ac:dyDescent="0.25">
      <c r="U306" s="377"/>
    </row>
    <row r="307" spans="1:38" x14ac:dyDescent="0.25">
      <c r="U307" s="377"/>
    </row>
    <row r="308" spans="1:38" x14ac:dyDescent="0.25">
      <c r="U308" s="377"/>
    </row>
    <row r="309" spans="1:38" x14ac:dyDescent="0.25">
      <c r="U309" s="377"/>
    </row>
    <row r="310" spans="1:38" x14ac:dyDescent="0.25">
      <c r="U310" s="377"/>
    </row>
    <row r="311" spans="1:38" x14ac:dyDescent="0.25">
      <c r="U311" s="377"/>
    </row>
    <row r="312" spans="1:38" x14ac:dyDescent="0.25">
      <c r="U312" s="377"/>
    </row>
    <row r="313" spans="1:38" x14ac:dyDescent="0.25">
      <c r="U313" s="377"/>
    </row>
    <row r="314" spans="1:38" s="285" customFormat="1" ht="83.25" customHeight="1" x14ac:dyDescent="0.25">
      <c r="D314" s="285" t="s">
        <v>136</v>
      </c>
      <c r="U314" s="389"/>
      <c r="W314" s="285" t="s">
        <v>228</v>
      </c>
      <c r="AI314" s="286"/>
      <c r="AJ314" s="286"/>
      <c r="AK314" s="286"/>
      <c r="AL314" s="286"/>
    </row>
    <row r="315" spans="1:38" x14ac:dyDescent="0.25">
      <c r="U315" s="377"/>
    </row>
    <row r="316" spans="1:38" ht="33.75" customHeight="1" x14ac:dyDescent="0.25">
      <c r="D316" s="686" t="str">
        <f>"Losun árið "&amp;$B$2&amp;" í samanburði við losun fyrri ára"</f>
        <v>Losun árið 2023 í samanburði við losun fyrri ára</v>
      </c>
      <c r="E316" s="686"/>
      <c r="F316" s="686"/>
      <c r="G316" s="686"/>
      <c r="H316" s="686"/>
      <c r="I316" s="686"/>
      <c r="J316" s="686"/>
      <c r="U316" s="377"/>
      <c r="W316" s="686" t="str">
        <f>"Emissions in "&amp;$B$2&amp;" compared to emissions in previous years"</f>
        <v>Emissions in 2023 compared to emissions in previous years</v>
      </c>
      <c r="X316" s="686"/>
      <c r="Y316" s="686"/>
      <c r="Z316" s="686"/>
      <c r="AA316" s="686"/>
      <c r="AB316" s="686"/>
      <c r="AC316" s="686"/>
    </row>
    <row r="317" spans="1:38" x14ac:dyDescent="0.25">
      <c r="D317" s="287"/>
      <c r="E317" s="701" t="str">
        <f>"Losun "&amp;$B$2</f>
        <v>Losun 2023</v>
      </c>
      <c r="F317" s="702"/>
      <c r="G317" s="701" t="str">
        <f>"Breyting frá "&amp;$B$3</f>
        <v>Breyting frá 2022</v>
      </c>
      <c r="H317" s="702"/>
      <c r="I317" s="701" t="str">
        <f>"Breyting frá "&amp;$B$5</f>
        <v>Breyting frá 2005</v>
      </c>
      <c r="J317" s="703"/>
      <c r="U317" s="377"/>
      <c r="W317" s="287"/>
      <c r="X317" s="687" t="str">
        <f>"Emissions in "&amp;$B$2</f>
        <v>Emissions in 2023</v>
      </c>
      <c r="Y317" s="688"/>
      <c r="Z317" s="687" t="str">
        <f>"Change from "&amp;$B$3</f>
        <v>Change from 2022</v>
      </c>
      <c r="AA317" s="688"/>
      <c r="AB317" s="687" t="str">
        <f>"Change from "&amp;$B$5</f>
        <v>Change from 2005</v>
      </c>
      <c r="AC317" s="689"/>
    </row>
    <row r="318" spans="1:38" ht="20.100000000000001" customHeight="1" x14ac:dyDescent="0.25">
      <c r="D318" s="287"/>
      <c r="E318" s="288" t="s">
        <v>5</v>
      </c>
      <c r="F318" s="289" t="s">
        <v>4</v>
      </c>
      <c r="G318" s="288" t="s">
        <v>5</v>
      </c>
      <c r="H318" s="289" t="s">
        <v>4</v>
      </c>
      <c r="I318" s="288" t="s">
        <v>5</v>
      </c>
      <c r="J318" s="288" t="s">
        <v>4</v>
      </c>
      <c r="U318" s="377"/>
      <c r="W318" s="287"/>
      <c r="X318" s="288" t="s">
        <v>216</v>
      </c>
      <c r="Y318" s="289" t="s">
        <v>4</v>
      </c>
      <c r="Z318" s="288" t="s">
        <v>216</v>
      </c>
      <c r="AA318" s="289" t="s">
        <v>4</v>
      </c>
      <c r="AB318" s="288" t="s">
        <v>216</v>
      </c>
      <c r="AC318" s="288" t="s">
        <v>4</v>
      </c>
    </row>
    <row r="319" spans="1:38" x14ac:dyDescent="0.25">
      <c r="A319" s="259" t="s">
        <v>100</v>
      </c>
      <c r="B319" s="255" t="s">
        <v>56</v>
      </c>
      <c r="C319" s="255" t="s">
        <v>56</v>
      </c>
      <c r="D319" s="81" t="str">
        <f>'Talnagögn | Numerical Data'!$D$165</f>
        <v>Eldsneytisbruni, staðbundinn iðnaður</v>
      </c>
      <c r="E319" s="56" cm="1">
        <f t="array" ref="E319">INDEX('Talnagögn | Numerical Data'!$1:$1048576, _xlfn.XMATCH($A319,'Talnagögn | Numerical Data'!$A:$A), _xlfn.XMATCH($B$2,'Talnagögn | Numerical Data'!$163:$163))</f>
        <v>5.5265801624558328</v>
      </c>
      <c r="F319" s="603">
        <f>E319/$E$322</f>
        <v>3.0490972080218439E-3</v>
      </c>
      <c r="G319" s="113" cm="1">
        <f t="array" ref="G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_xlfn.XMATCH($B$3,'Talnagögn | Numerical Data'!$163:$163))</f>
        <v>-2.0919152414261211</v>
      </c>
      <c r="H319" s="71" cm="1">
        <f t="array" ref="H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_xlfn.XMATCH($B$3,'Talnagögn | Numerical Data'!$163:$163))-1,"—")</f>
        <v>-0.27458377678618795</v>
      </c>
      <c r="I319" s="34" cm="1">
        <f t="array" ref="I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_xlfn.XMATCH($B$5,'Talnagögn | Numerical Data'!$163:$163))</f>
        <v>-25.711904756844167</v>
      </c>
      <c r="J319" s="72" cm="1">
        <f t="array" ref="J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_xlfn.XMATCH($B$5,'Talnagögn | Numerical Data'!$163:$163))-1,"—")</f>
        <v>-0.82308424442693251</v>
      </c>
      <c r="U319" s="377"/>
      <c r="W319" s="376" t="str">
        <f>'Talnagögn | Numerical Data'!$E$165</f>
        <v>Fuel Combustion, Stationary Industry</v>
      </c>
      <c r="X319" s="56" cm="1">
        <f t="array" ref="X319">INDEX('Talnagögn | Numerical Data'!$1:$1048576, _xlfn.XMATCH($A319,'Talnagögn | Numerical Data'!$A:$A), _xlfn.XMATCH($B$2,'Talnagögn | Numerical Data'!$163:$163))</f>
        <v>5.5265801624558328</v>
      </c>
      <c r="Y319" s="603">
        <f>X319/$E$322</f>
        <v>3.0490972080218439E-3</v>
      </c>
      <c r="Z319" s="113" cm="1">
        <f t="array" ref="Z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_xlfn.XMATCH($B$3,'Talnagögn | Numerical Data'!$163:$163))</f>
        <v>-2.0919152414261211</v>
      </c>
      <c r="AA319" s="71" cm="1">
        <f t="array" ref="AA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_xlfn.XMATCH($B$3,'Talnagögn | Numerical Data'!$163:$163))-1,"—")</f>
        <v>-0.27458377678618795</v>
      </c>
      <c r="AB319" s="34" cm="1">
        <f t="array" ref="AB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_xlfn.XMATCH($B$5,'Talnagögn | Numerical Data'!$163:$163))</f>
        <v>-25.711904756844167</v>
      </c>
      <c r="AC319" s="72" cm="1">
        <f t="array" ref="AC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_xlfn.XMATCH($B$5,'Talnagögn | Numerical Data'!$163:$163))-1,"—")</f>
        <v>-0.82308424442693251</v>
      </c>
    </row>
    <row r="320" spans="1:38" ht="21" customHeight="1" x14ac:dyDescent="0.25">
      <c r="A320" s="258" t="s">
        <v>101</v>
      </c>
      <c r="B320" s="255" t="s">
        <v>56</v>
      </c>
      <c r="C320" s="255" t="s">
        <v>56</v>
      </c>
      <c r="D320" s="81" t="str">
        <f>'Talnagögn | Numerical Data'!$D$166</f>
        <v>Kísil- og kísilmálmframleiðsla</v>
      </c>
      <c r="E320" s="34" cm="1">
        <f t="array" ref="E320">INDEX('Talnagögn | Numerical Data'!$1:$1048576, _xlfn.XMATCH($A320,'Talnagögn | Numerical Data'!$A:$A), _xlfn.XMATCH($B$2,'Talnagögn | Numerical Data'!$163:$163))</f>
        <v>404.35243266231652</v>
      </c>
      <c r="F320" s="76">
        <f>E320/$E$322</f>
        <v>0.22308730485140468</v>
      </c>
      <c r="G320" s="69" cm="1">
        <f t="array" ref="G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_xlfn.XMATCH($B$3,'Talnagögn | Numerical Data'!$163:$163))</f>
        <v>-108.9060859133711</v>
      </c>
      <c r="H320" s="71" cm="1">
        <f t="array" ref="H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_xlfn.XMATCH($B$3,'Talnagögn | Numerical Data'!$163:$163))-1,"—")</f>
        <v>-0.21218563739690033</v>
      </c>
      <c r="I320" s="34" cm="1">
        <f t="array" ref="I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_xlfn.XMATCH($B$5,'Talnagögn | Numerical Data'!$163:$163))</f>
        <v>27.516502655916497</v>
      </c>
      <c r="J320" s="61" cm="1">
        <f t="array" ref="J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_xlfn.XMATCH($B$5,'Talnagögn | Numerical Data'!$163:$163))-1,"—")</f>
        <v>7.301984886486057E-2</v>
      </c>
      <c r="U320" s="377"/>
      <c r="W320" s="376" t="str">
        <f>'Talnagögn | Numerical Data'!$E$166</f>
        <v>Ferrosilicon and Silicon Metal Production</v>
      </c>
      <c r="X320" s="34" cm="1">
        <f t="array" ref="X320">INDEX('Talnagögn | Numerical Data'!$1:$1048576, _xlfn.XMATCH($A320,'Talnagögn | Numerical Data'!$A:$A), _xlfn.XMATCH($B$2,'Talnagögn | Numerical Data'!$163:$163))</f>
        <v>404.35243266231652</v>
      </c>
      <c r="Y320" s="76">
        <f>X320/$E$322</f>
        <v>0.22308730485140468</v>
      </c>
      <c r="Z320" s="69" cm="1">
        <f t="array" ref="Z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_xlfn.XMATCH($B$3,'Talnagögn | Numerical Data'!$163:$163))</f>
        <v>-108.9060859133711</v>
      </c>
      <c r="AA320" s="71" cm="1">
        <f t="array" ref="AA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_xlfn.XMATCH($B$3,'Talnagögn | Numerical Data'!$163:$163))-1,"—")</f>
        <v>-0.21218563739690033</v>
      </c>
      <c r="AB320" s="34" cm="1">
        <f t="array" ref="AB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_xlfn.XMATCH($B$5,'Talnagögn | Numerical Data'!$163:$163))</f>
        <v>27.516502655916497</v>
      </c>
      <c r="AC320" s="61" cm="1">
        <f t="array" ref="AC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_xlfn.XMATCH($B$5,'Talnagögn | Numerical Data'!$163:$163))-1,"—")</f>
        <v>7.301984886486057E-2</v>
      </c>
    </row>
    <row r="321" spans="1:29" ht="21" customHeight="1" x14ac:dyDescent="0.25">
      <c r="A321" s="258" t="s">
        <v>102</v>
      </c>
      <c r="B321" s="255" t="s">
        <v>56</v>
      </c>
      <c r="C321" s="255" t="s">
        <v>56</v>
      </c>
      <c r="D321" s="83" t="str">
        <f>'Talnagögn | Numerical Data'!$D$167</f>
        <v>Álframleiðsla</v>
      </c>
      <c r="E321" s="70" cm="1">
        <f t="array" ref="E321">INDEX('Talnagögn | Numerical Data'!$1:$1048576, _xlfn.XMATCH($A321,'Talnagögn | Numerical Data'!$A:$A), _xlfn.XMATCH($B$2,'Talnagögn | Numerical Data'!$163:$163))</f>
        <v>1402.649641668688</v>
      </c>
      <c r="F321" s="98">
        <f>E321/$E$322</f>
        <v>0.7738628556044248</v>
      </c>
      <c r="G321" s="69" cm="1">
        <f t="array" ref="G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_xlfn.XMATCH($B$3,'Talnagögn | Numerical Data'!$163:$163))</f>
        <v>48.448911328023087</v>
      </c>
      <c r="H321" s="120" cm="1">
        <f t="array" ref="H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_xlfn.XMATCH($B$3,'Talnagögn | Numerical Data'!$163:$163))-1,"—")</f>
        <v>3.5776757642004275E-2</v>
      </c>
      <c r="I321" s="70" cm="1">
        <f t="array" ref="I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_xlfn.XMATCH($B$5,'Talnagögn | Numerical Data'!$163:$163))</f>
        <v>957.8411255016008</v>
      </c>
      <c r="J321" s="75" cm="1">
        <f t="array" ref="J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_xlfn.XMATCH($B$5,'Talnagögn | Numerical Data'!$163:$163))-1,"—")</f>
        <v>2.1533785678280473</v>
      </c>
      <c r="U321" s="377"/>
      <c r="W321" s="265" t="str">
        <f>'Talnagögn | Numerical Data'!$E$167</f>
        <v>Aluminium Production</v>
      </c>
      <c r="X321" s="70" cm="1">
        <f t="array" ref="X321">INDEX('Talnagögn | Numerical Data'!$1:$1048576, _xlfn.XMATCH($A321,'Talnagögn | Numerical Data'!$A:$A), _xlfn.XMATCH($B$2,'Talnagögn | Numerical Data'!$163:$163))</f>
        <v>1402.649641668688</v>
      </c>
      <c r="Y321" s="76">
        <f>X321/$E$322</f>
        <v>0.7738628556044248</v>
      </c>
      <c r="Z321" s="69" cm="1">
        <f t="array" ref="Z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_xlfn.XMATCH($B$3,'Talnagögn | Numerical Data'!$163:$163))</f>
        <v>48.448911328023087</v>
      </c>
      <c r="AA321" s="120" cm="1">
        <f t="array" ref="AA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_xlfn.XMATCH($B$3,'Talnagögn | Numerical Data'!$163:$163))-1,"—")</f>
        <v>3.5776757642004275E-2</v>
      </c>
      <c r="AB321" s="70" cm="1">
        <f t="array" ref="AB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_xlfn.XMATCH($B$5,'Talnagögn | Numerical Data'!$163:$163))</f>
        <v>957.8411255016008</v>
      </c>
      <c r="AC321" s="75" cm="1">
        <f t="array" ref="AC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_xlfn.XMATCH($B$5,'Talnagögn | Numerical Data'!$163:$163))-1,"—")</f>
        <v>2.1533785678280473</v>
      </c>
    </row>
    <row r="322" spans="1:29" ht="24.95" customHeight="1" x14ac:dyDescent="0.25">
      <c r="A322" s="258" t="s">
        <v>98</v>
      </c>
      <c r="B322" s="255" t="s">
        <v>56</v>
      </c>
      <c r="D322" s="74" t="s">
        <v>13</v>
      </c>
      <c r="E322" s="97" cm="1">
        <f t="array" ref="E322">INDEX('Talnagögn | Numerical Data'!$1:$1048576, _xlfn.XMATCH($A322,'Talnagögn | Numerical Data'!$A:$A), _xlfn.XMATCH($B$2,'Talnagögn | Numerical Data'!$163:$163))</f>
        <v>1812.53</v>
      </c>
      <c r="F322" s="78">
        <f>E322/$E$322</f>
        <v>1</v>
      </c>
      <c r="G322" s="77" cm="1">
        <f t="array" ref="G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_xlfn.XMATCH($B$3,'Talnagögn | Numerical Data'!$163:$163))</f>
        <v>-62.546000000000049</v>
      </c>
      <c r="H322" s="85" cm="1">
        <f t="array" ref="H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_xlfn.XMATCH($B$3,'Talnagögn | Numerical Data'!$163:$163))-1,"—")</f>
        <v>-3.3356514615940913E-2</v>
      </c>
      <c r="I322" s="66" cm="1">
        <f t="array" ref="I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_xlfn.XMATCH($B$5,'Talnagögn | Numerical Data'!$163:$163))</f>
        <v>959.64706890721277</v>
      </c>
      <c r="J322" s="80" cm="1">
        <f t="array" ref="J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_xlfn.XMATCH($B$5,'Talnagögn | Numerical Data'!$163:$163))-1,"—")</f>
        <v>1.1251802960549697</v>
      </c>
      <c r="U322" s="377"/>
      <c r="W322" s="74" t="s">
        <v>13</v>
      </c>
      <c r="X322" s="97" cm="1">
        <f t="array" ref="X322">INDEX('Talnagögn | Numerical Data'!$1:$1048576, _xlfn.XMATCH($A322,'Talnagögn | Numerical Data'!$A:$A), _xlfn.XMATCH($B$2,'Talnagögn | Numerical Data'!$163:$163))</f>
        <v>1812.53</v>
      </c>
      <c r="Y322" s="78">
        <f>X322/$E$322</f>
        <v>1</v>
      </c>
      <c r="Z322" s="77" cm="1">
        <f t="array" ref="Z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_xlfn.XMATCH($B$3,'Talnagögn | Numerical Data'!$163:$163))</f>
        <v>-62.546000000000049</v>
      </c>
      <c r="AA322" s="85" cm="1">
        <f t="array" ref="AA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_xlfn.XMATCH($B$3,'Talnagögn | Numerical Data'!$163:$163))-1,"—")</f>
        <v>-3.3356514615940913E-2</v>
      </c>
      <c r="AB322" s="66" cm="1">
        <f t="array" ref="AB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_xlfn.XMATCH($B$5,'Talnagögn | Numerical Data'!$163:$163))</f>
        <v>959.64706890721277</v>
      </c>
      <c r="AC322" s="80" cm="1">
        <f t="array" ref="AC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_xlfn.XMATCH($B$5,'Talnagögn | Numerical Data'!$163:$163))-1,"—")</f>
        <v>1.1251802960549697</v>
      </c>
    </row>
    <row r="323" spans="1:29" x14ac:dyDescent="0.25">
      <c r="U323" s="377"/>
    </row>
    <row r="324" spans="1:29" x14ac:dyDescent="0.25">
      <c r="U324" s="377"/>
    </row>
    <row r="325" spans="1:29" x14ac:dyDescent="0.25">
      <c r="U325" s="377"/>
    </row>
    <row r="326" spans="1:29" x14ac:dyDescent="0.25">
      <c r="U326" s="377"/>
    </row>
    <row r="327" spans="1:29" x14ac:dyDescent="0.25">
      <c r="U327" s="377"/>
    </row>
    <row r="328" spans="1:29" x14ac:dyDescent="0.25">
      <c r="U328" s="377"/>
    </row>
    <row r="329" spans="1:29" x14ac:dyDescent="0.25">
      <c r="U329" s="377"/>
    </row>
    <row r="330" spans="1:29" x14ac:dyDescent="0.25">
      <c r="U330" s="377"/>
    </row>
    <row r="331" spans="1:29" x14ac:dyDescent="0.25">
      <c r="U331" s="377"/>
    </row>
    <row r="332" spans="1:29" x14ac:dyDescent="0.25">
      <c r="U332" s="377"/>
    </row>
    <row r="333" spans="1:29" ht="14.45" customHeight="1" x14ac:dyDescent="0.25">
      <c r="U333" s="377"/>
    </row>
    <row r="334" spans="1:29" ht="14.45" customHeight="1" x14ac:dyDescent="0.25">
      <c r="U334" s="377"/>
    </row>
    <row r="335" spans="1:29" ht="14.45" customHeight="1" x14ac:dyDescent="0.25">
      <c r="U335" s="377"/>
    </row>
    <row r="336" spans="1:29" x14ac:dyDescent="0.25">
      <c r="U336" s="377"/>
    </row>
    <row r="337" spans="4:23" x14ac:dyDescent="0.25">
      <c r="U337" s="377"/>
    </row>
    <row r="338" spans="4:23" x14ac:dyDescent="0.25">
      <c r="U338" s="377"/>
    </row>
    <row r="339" spans="4:23" x14ac:dyDescent="0.25">
      <c r="U339" s="377"/>
    </row>
    <row r="340" spans="4:23" x14ac:dyDescent="0.25">
      <c r="U340" s="377"/>
    </row>
    <row r="341" spans="4:23" x14ac:dyDescent="0.25">
      <c r="U341" s="377"/>
    </row>
    <row r="342" spans="4:23" x14ac:dyDescent="0.25">
      <c r="U342" s="377"/>
    </row>
    <row r="343" spans="4:23" x14ac:dyDescent="0.25">
      <c r="U343" s="377"/>
    </row>
    <row r="344" spans="4:23" x14ac:dyDescent="0.25">
      <c r="U344" s="377"/>
    </row>
    <row r="345" spans="4:23" x14ac:dyDescent="0.25">
      <c r="U345" s="377"/>
    </row>
    <row r="346" spans="4:23" x14ac:dyDescent="0.25">
      <c r="U346" s="377"/>
    </row>
    <row r="347" spans="4:23" x14ac:dyDescent="0.25">
      <c r="U347" s="377"/>
    </row>
    <row r="348" spans="4:23" x14ac:dyDescent="0.25">
      <c r="U348" s="377"/>
    </row>
    <row r="349" spans="4:23" s="290" customFormat="1" ht="27" customHeight="1" x14ac:dyDescent="0.25">
      <c r="D349" s="589" t="s">
        <v>35</v>
      </c>
      <c r="U349" s="390"/>
      <c r="W349" s="589" t="s">
        <v>215</v>
      </c>
    </row>
    <row r="350" spans="4:23" x14ac:dyDescent="0.25">
      <c r="E350" s="192"/>
      <c r="U350" s="377"/>
    </row>
    <row r="351" spans="4:23" x14ac:dyDescent="0.25">
      <c r="U351" s="377"/>
    </row>
    <row r="352" spans="4:23" x14ac:dyDescent="0.25">
      <c r="U352" s="377"/>
    </row>
    <row r="353" spans="21:21" x14ac:dyDescent="0.25">
      <c r="U353" s="377"/>
    </row>
    <row r="354" spans="21:21" x14ac:dyDescent="0.25">
      <c r="U354" s="377"/>
    </row>
    <row r="355" spans="21:21" x14ac:dyDescent="0.25">
      <c r="U355" s="377"/>
    </row>
    <row r="356" spans="21:21" ht="15" customHeight="1" x14ac:dyDescent="0.25">
      <c r="U356" s="377"/>
    </row>
    <row r="357" spans="21:21" ht="15" customHeight="1" x14ac:dyDescent="0.25">
      <c r="U357" s="377"/>
    </row>
    <row r="358" spans="21:21" ht="15" customHeight="1" x14ac:dyDescent="0.25">
      <c r="U358" s="377"/>
    </row>
    <row r="359" spans="21:21" x14ac:dyDescent="0.25">
      <c r="U359" s="377"/>
    </row>
    <row r="360" spans="21:21" x14ac:dyDescent="0.25">
      <c r="U360" s="377"/>
    </row>
    <row r="361" spans="21:21" x14ac:dyDescent="0.25">
      <c r="U361" s="377"/>
    </row>
    <row r="362" spans="21:21" x14ac:dyDescent="0.25">
      <c r="U362" s="377"/>
    </row>
    <row r="363" spans="21:21" x14ac:dyDescent="0.25">
      <c r="U363" s="377"/>
    </row>
    <row r="364" spans="21:21" x14ac:dyDescent="0.25">
      <c r="U364" s="377"/>
    </row>
    <row r="365" spans="21:21" x14ac:dyDescent="0.25">
      <c r="U365" s="377"/>
    </row>
    <row r="366" spans="21:21" x14ac:dyDescent="0.25">
      <c r="U366" s="377"/>
    </row>
    <row r="367" spans="21:21" x14ac:dyDescent="0.25">
      <c r="U367" s="377"/>
    </row>
    <row r="368" spans="21:21" x14ac:dyDescent="0.25">
      <c r="U368" s="377"/>
    </row>
    <row r="369" spans="21:21" x14ac:dyDescent="0.25">
      <c r="U369" s="377"/>
    </row>
    <row r="370" spans="21:21" x14ac:dyDescent="0.25">
      <c r="U370" s="377"/>
    </row>
    <row r="371" spans="21:21" x14ac:dyDescent="0.25">
      <c r="U371" s="377"/>
    </row>
    <row r="372" spans="21:21" x14ac:dyDescent="0.25">
      <c r="U372" s="377"/>
    </row>
    <row r="373" spans="21:21" x14ac:dyDescent="0.25">
      <c r="U373" s="377"/>
    </row>
    <row r="374" spans="21:21" x14ac:dyDescent="0.25">
      <c r="U374" s="377"/>
    </row>
    <row r="375" spans="21:21" x14ac:dyDescent="0.25">
      <c r="U375" s="377"/>
    </row>
    <row r="376" spans="21:21" x14ac:dyDescent="0.25">
      <c r="U376" s="377"/>
    </row>
    <row r="377" spans="21:21" x14ac:dyDescent="0.25">
      <c r="U377" s="377"/>
    </row>
    <row r="378" spans="21:21" x14ac:dyDescent="0.25">
      <c r="U378" s="377"/>
    </row>
    <row r="379" spans="21:21" s="41" customFormat="1" ht="15.75" thickBot="1" x14ac:dyDescent="0.3">
      <c r="U379" s="424"/>
    </row>
    <row r="380" spans="21:21" ht="15.75" thickTop="1" x14ac:dyDescent="0.25"/>
  </sheetData>
  <mergeCells count="57">
    <mergeCell ref="E5:F5"/>
    <mergeCell ref="G5:H5"/>
    <mergeCell ref="I5:J5"/>
    <mergeCell ref="I80:J80"/>
    <mergeCell ref="K80:M80"/>
    <mergeCell ref="E80:F80"/>
    <mergeCell ref="D77:K77"/>
    <mergeCell ref="N5:P5"/>
    <mergeCell ref="N12:O12"/>
    <mergeCell ref="N7:O7"/>
    <mergeCell ref="N11:O11"/>
    <mergeCell ref="N6:O6"/>
    <mergeCell ref="W4:AC4"/>
    <mergeCell ref="X5:Y5"/>
    <mergeCell ref="Z5:AA5"/>
    <mergeCell ref="AB5:AC5"/>
    <mergeCell ref="E317:F317"/>
    <mergeCell ref="G317:H317"/>
    <mergeCell ref="I317:J317"/>
    <mergeCell ref="D250:J250"/>
    <mergeCell ref="E251:F251"/>
    <mergeCell ref="W79:AC79"/>
    <mergeCell ref="X80:Y80"/>
    <mergeCell ref="Z80:AA80"/>
    <mergeCell ref="AB80:AC80"/>
    <mergeCell ref="W177:AK177"/>
    <mergeCell ref="Z317:AA317"/>
    <mergeCell ref="D316:J316"/>
    <mergeCell ref="W316:AC316"/>
    <mergeCell ref="X317:Y317"/>
    <mergeCell ref="AB317:AC317"/>
    <mergeCell ref="W179:AC179"/>
    <mergeCell ref="X180:Y180"/>
    <mergeCell ref="Z180:AA180"/>
    <mergeCell ref="AB180:AC180"/>
    <mergeCell ref="W250:AC250"/>
    <mergeCell ref="X251:Y251"/>
    <mergeCell ref="Z251:AA251"/>
    <mergeCell ref="AB251:AC251"/>
    <mergeCell ref="K81:L81"/>
    <mergeCell ref="K82:L82"/>
    <mergeCell ref="E180:F180"/>
    <mergeCell ref="G80:H80"/>
    <mergeCell ref="D79:J79"/>
    <mergeCell ref="K83:L83"/>
    <mergeCell ref="K84:L84"/>
    <mergeCell ref="G251:H251"/>
    <mergeCell ref="I251:J251"/>
    <mergeCell ref="G180:H180"/>
    <mergeCell ref="I180:J180"/>
    <mergeCell ref="K85:L85"/>
    <mergeCell ref="D179:J179"/>
    <mergeCell ref="W77:AD77"/>
    <mergeCell ref="AD82:AE82"/>
    <mergeCell ref="AD83:AE83"/>
    <mergeCell ref="AD84:AE84"/>
    <mergeCell ref="AD85:AE85"/>
  </mergeCells>
  <conditionalFormatting sqref="E319:J322">
    <cfRule type="cellIs" dxfId="33" priority="77" operator="equal">
      <formula>0</formula>
    </cfRule>
  </conditionalFormatting>
  <conditionalFormatting sqref="X319:AC322">
    <cfRule type="cellIs" dxfId="32" priority="7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2"/>
  </sheetPr>
  <dimension ref="A1:BB663"/>
  <sheetViews>
    <sheetView topLeftCell="C1" zoomScale="70" zoomScaleNormal="70" workbookViewId="0">
      <selection activeCell="C1" sqref="C1"/>
    </sheetView>
  </sheetViews>
  <sheetFormatPr defaultColWidth="9.21875" defaultRowHeight="15" x14ac:dyDescent="0.25"/>
  <cols>
    <col min="1" max="1" width="13" style="262" hidden="1" customWidth="1"/>
    <col min="2" max="2" width="7.21875" style="16" hidden="1" customWidth="1"/>
    <col min="3" max="3" width="5.21875" style="16" customWidth="1"/>
    <col min="4" max="4" width="36.44140625" style="16" customWidth="1"/>
    <col min="5" max="6" width="7.44140625" style="16" customWidth="1"/>
    <col min="7" max="7" width="6.6640625" style="16" bestFit="1" customWidth="1"/>
    <col min="8" max="9" width="7.44140625" style="16" customWidth="1"/>
    <col min="10" max="10" width="8" style="16" bestFit="1" customWidth="1"/>
    <col min="11" max="12" width="7.44140625" style="16" customWidth="1"/>
    <col min="13" max="13" width="9" style="16" bestFit="1" customWidth="1"/>
    <col min="14" max="15" width="7.44140625" style="16" customWidth="1"/>
    <col min="16" max="16" width="8.21875" style="16" bestFit="1" customWidth="1"/>
    <col min="17" max="22" width="7.44140625" style="16" customWidth="1"/>
    <col min="23" max="26" width="9.21875" style="16"/>
    <col min="27" max="27" width="9.21875" style="16" customWidth="1"/>
    <col min="28" max="31" width="9.21875" style="16"/>
    <col min="32" max="32" width="46.88671875" style="16" customWidth="1"/>
    <col min="33" max="34" width="9.21875" style="16"/>
    <col min="35" max="35" width="6.6640625" style="16" bestFit="1" customWidth="1"/>
    <col min="36" max="37" width="9.21875" style="16"/>
    <col min="38" max="38" width="8.33203125" style="16" customWidth="1"/>
    <col min="39" max="40" width="9.21875" style="16"/>
    <col min="41" max="41" width="9" style="16" bestFit="1" customWidth="1"/>
    <col min="42" max="43" width="9.21875" style="16"/>
    <col min="44" max="44" width="8.21875" style="16" bestFit="1" customWidth="1"/>
    <col min="45" max="16384" width="9.21875" style="16"/>
  </cols>
  <sheetData>
    <row r="1" spans="1:45" s="354" customFormat="1" ht="45.6" customHeight="1" x14ac:dyDescent="0.45">
      <c r="A1" s="344"/>
      <c r="B1" s="407">
        <v>2030</v>
      </c>
      <c r="D1" s="354" t="s">
        <v>133</v>
      </c>
      <c r="AC1" s="439"/>
      <c r="AF1" s="354" t="s">
        <v>230</v>
      </c>
      <c r="AQ1" s="355"/>
      <c r="AR1" s="355"/>
      <c r="AS1" s="355"/>
    </row>
    <row r="2" spans="1:45" s="356" customFormat="1" ht="37.5" customHeight="1" x14ac:dyDescent="0.25">
      <c r="A2" s="652" t="s">
        <v>151</v>
      </c>
      <c r="B2" s="406">
        <v>2023</v>
      </c>
      <c r="C2" s="375"/>
      <c r="D2" s="374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423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57"/>
      <c r="AR2" s="357"/>
      <c r="AS2" s="357"/>
    </row>
    <row r="3" spans="1:45" x14ac:dyDescent="0.25">
      <c r="A3" s="344"/>
      <c r="B3" s="344">
        <f>$B$2-1</f>
        <v>2022</v>
      </c>
      <c r="C3" s="617" t="s">
        <v>56</v>
      </c>
      <c r="AC3" s="383"/>
    </row>
    <row r="4" spans="1:45" ht="18.75" x14ac:dyDescent="0.25">
      <c r="A4" s="344"/>
      <c r="B4" s="344">
        <v>2005</v>
      </c>
      <c r="C4" s="617" t="s">
        <v>56</v>
      </c>
      <c r="D4" s="809" t="str">
        <f>"Losun árið "&amp;$B$2&amp;", með losun frá landnotkun (LULUCF), í samanburði við losun fyrri ára"</f>
        <v>Losun árið 2023, með losun frá landnotkun (LULUCF), í samanburði við losun fyrri ára</v>
      </c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AC4" s="383"/>
      <c r="AF4" s="809" t="str">
        <f>"Emissions in "&amp;$B$2&amp;" compared to emissions in previous years"</f>
        <v>Emissions in 2023 compared to emissions in previous years</v>
      </c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</row>
    <row r="5" spans="1:45" ht="33" customHeight="1" x14ac:dyDescent="0.25">
      <c r="A5" s="344"/>
      <c r="B5" s="408">
        <v>1990</v>
      </c>
      <c r="C5" s="617" t="s">
        <v>56</v>
      </c>
      <c r="D5" s="807"/>
      <c r="E5" s="707" t="str">
        <f>"Losun "&amp;$B$2</f>
        <v>Losun 2023</v>
      </c>
      <c r="F5" s="709"/>
      <c r="G5" s="708"/>
      <c r="H5" s="709" t="str">
        <f>"Breyting frá "&amp;$B$3</f>
        <v>Breyting frá 2022</v>
      </c>
      <c r="I5" s="709"/>
      <c r="J5" s="708"/>
      <c r="K5" s="815" t="str">
        <f>"Breyting frá "&amp;$B$4</f>
        <v>Breyting frá 2005</v>
      </c>
      <c r="L5" s="709"/>
      <c r="M5" s="708"/>
      <c r="N5" s="707" t="str">
        <f>"Breyting frá "&amp;$B$5</f>
        <v>Breyting frá 1990</v>
      </c>
      <c r="O5" s="709"/>
      <c r="P5" s="709"/>
      <c r="Q5" s="56"/>
      <c r="R5" s="56"/>
      <c r="S5" s="58"/>
      <c r="T5" s="56"/>
      <c r="U5" s="56"/>
      <c r="V5" s="57"/>
      <c r="AC5" s="383"/>
      <c r="AF5" s="807"/>
      <c r="AG5" s="698" t="str">
        <f>"Emissions in "&amp;$B$2</f>
        <v>Emissions in 2023</v>
      </c>
      <c r="AH5" s="700"/>
      <c r="AI5" s="699"/>
      <c r="AJ5" s="700" t="str">
        <f>"Change from "&amp;$B$3</f>
        <v>Change from 2022</v>
      </c>
      <c r="AK5" s="700"/>
      <c r="AL5" s="699"/>
      <c r="AM5" s="700" t="str">
        <f>"Change from "&amp;$B$4</f>
        <v>Change from 2005</v>
      </c>
      <c r="AN5" s="700"/>
      <c r="AO5" s="699"/>
      <c r="AP5" s="698" t="str">
        <f>"Change from "&amp;$B$5</f>
        <v>Change from 1990</v>
      </c>
      <c r="AQ5" s="700"/>
      <c r="AR5" s="700"/>
    </row>
    <row r="6" spans="1:45" ht="27.75" customHeight="1" x14ac:dyDescent="0.25">
      <c r="B6" s="16" t="s">
        <v>56</v>
      </c>
      <c r="C6" s="617" t="s">
        <v>56</v>
      </c>
      <c r="D6" s="807"/>
      <c r="E6" s="808" t="s">
        <v>5</v>
      </c>
      <c r="F6" s="808"/>
      <c r="G6" s="606" t="s">
        <v>4</v>
      </c>
      <c r="H6" s="808" t="s">
        <v>5</v>
      </c>
      <c r="I6" s="808"/>
      <c r="J6" s="606" t="s">
        <v>4</v>
      </c>
      <c r="K6" s="808" t="s">
        <v>5</v>
      </c>
      <c r="L6" s="808"/>
      <c r="M6" s="606" t="s">
        <v>4</v>
      </c>
      <c r="N6" s="808" t="s">
        <v>5</v>
      </c>
      <c r="O6" s="808"/>
      <c r="P6" s="605" t="s">
        <v>4</v>
      </c>
      <c r="Q6" s="56"/>
      <c r="R6" s="56"/>
      <c r="S6" s="58"/>
      <c r="T6" s="56"/>
      <c r="U6" s="56"/>
      <c r="V6" s="57"/>
      <c r="AC6" s="383"/>
      <c r="AF6" s="807"/>
      <c r="AG6" s="808" t="s">
        <v>204</v>
      </c>
      <c r="AH6" s="808"/>
      <c r="AI6" s="606" t="s">
        <v>4</v>
      </c>
      <c r="AJ6" s="808" t="s">
        <v>204</v>
      </c>
      <c r="AK6" s="808"/>
      <c r="AL6" s="606" t="s">
        <v>4</v>
      </c>
      <c r="AM6" s="808" t="s">
        <v>204</v>
      </c>
      <c r="AN6" s="808"/>
      <c r="AO6" s="606" t="s">
        <v>4</v>
      </c>
      <c r="AP6" s="808" t="s">
        <v>204</v>
      </c>
      <c r="AQ6" s="808"/>
      <c r="AR6" s="605" t="s">
        <v>4</v>
      </c>
    </row>
    <row r="7" spans="1:45" ht="21" customHeight="1" x14ac:dyDescent="0.25">
      <c r="A7" s="155" t="s">
        <v>50</v>
      </c>
      <c r="B7" s="16" t="s">
        <v>56</v>
      </c>
      <c r="C7" s="617" t="s">
        <v>56</v>
      </c>
      <c r="D7" s="81" t="str">
        <f>'Talnagögn | Numerical Data'!$D$4</f>
        <v>Orka</v>
      </c>
      <c r="E7" s="733" cm="1">
        <f t="array" ref="E7">INDEX('Talnagögn | Numerical Data'!$1:$1048576,_xlfn.XMATCH($A7,'Talnagögn | Numerical Data'!$A:$A),_xlfn.XMATCH($B$2,'Talnagögn | Numerical Data'!$2:$2))</f>
        <v>1774.4954056364502</v>
      </c>
      <c r="F7" s="728"/>
      <c r="G7" s="76">
        <f>$E7/$E$12</f>
        <v>0.13983196858312527</v>
      </c>
      <c r="H7" s="814" cm="1">
        <f t="array" ref="H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-32.552283983826555</v>
      </c>
      <c r="I7" s="814"/>
      <c r="J7" s="119" cm="1">
        <f t="array" ref="J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-1.801407022670598E-2</v>
      </c>
      <c r="K7" s="728" cm="1">
        <f t="array" ref="K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-384.01256358446585</v>
      </c>
      <c r="L7" s="728"/>
      <c r="M7" s="71" cm="1">
        <f t="array" ref="M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-0.17790648404373044</v>
      </c>
      <c r="N7" s="728" cm="1">
        <f t="array" ref="N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-66.059763060203295</v>
      </c>
      <c r="O7" s="728"/>
      <c r="P7" s="57" cm="1">
        <f t="array" ref="P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-3.5891215967724599E-2</v>
      </c>
      <c r="Q7" s="28"/>
      <c r="R7" s="28"/>
      <c r="S7" s="28"/>
      <c r="T7" s="57"/>
      <c r="U7" s="28"/>
      <c r="V7" s="57"/>
      <c r="AC7" s="383"/>
      <c r="AF7" s="376" t="str">
        <f>'Talnagögn | Numerical Data'!$E$4</f>
        <v>Energy</v>
      </c>
      <c r="AG7" s="728" cm="1">
        <f t="array" ref="AG7">INDEX('Talnagögn | Numerical Data'!$1:$1048576,_xlfn.XMATCH($A7,'Talnagögn | Numerical Data'!$A:$A),_xlfn.XMATCH($B$2,'Talnagögn | Numerical Data'!$2:$2))</f>
        <v>1774.4954056364502</v>
      </c>
      <c r="AH7" s="728"/>
      <c r="AI7" s="76">
        <f>$E7/$E$12</f>
        <v>0.13983196858312527</v>
      </c>
      <c r="AJ7" s="814" cm="1">
        <f t="array" ref="AJ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-32.552283983826555</v>
      </c>
      <c r="AK7" s="814"/>
      <c r="AL7" s="119" cm="1">
        <f t="array" ref="AL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-1.801407022670598E-2</v>
      </c>
      <c r="AM7" s="728" cm="1">
        <f t="array" ref="AM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-384.01256358446585</v>
      </c>
      <c r="AN7" s="728"/>
      <c r="AO7" s="71" cm="1">
        <f t="array" ref="AO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-0.17790648404373044</v>
      </c>
      <c r="AP7" s="728" cm="1">
        <f t="array" ref="AP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-66.059763060203295</v>
      </c>
      <c r="AQ7" s="728"/>
      <c r="AR7" s="57" cm="1">
        <f t="array" ref="AR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-3.5891215967724599E-2</v>
      </c>
    </row>
    <row r="8" spans="1:45" ht="21" customHeight="1" x14ac:dyDescent="0.25">
      <c r="A8" s="155" t="s">
        <v>51</v>
      </c>
      <c r="B8" s="16" t="s">
        <v>56</v>
      </c>
      <c r="C8" s="617" t="s">
        <v>56</v>
      </c>
      <c r="D8" s="81" t="str">
        <f>'Talnagögn | Numerical Data'!$D$5</f>
        <v>Iðnaður og vörunotkun</v>
      </c>
      <c r="E8" s="733" cm="1">
        <f t="array" ref="E8">INDEX('Talnagögn | Numerical Data'!$1:$1048576,_xlfn.XMATCH($A8,'Talnagögn | Numerical Data'!$A:$A),_xlfn.XMATCH($B$2,'Talnagögn | Numerical Data'!$2:$2))</f>
        <v>1945.9962754246219</v>
      </c>
      <c r="F8" s="728"/>
      <c r="G8" s="76">
        <f t="shared" ref="G8:G11" si="0">$E8/$E$12</f>
        <v>0.15334640438274741</v>
      </c>
      <c r="H8" s="733" cm="1">
        <f t="array" ref="H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-70.167350858161626</v>
      </c>
      <c r="I8" s="728"/>
      <c r="J8" s="119" cm="1">
        <f t="array" ref="J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-3.4802408863773504E-2</v>
      </c>
      <c r="K8" s="733" cm="1">
        <f t="array" ref="K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996.01300839665078</v>
      </c>
      <c r="L8" s="728"/>
      <c r="M8" s="71" cm="1">
        <f t="array" ref="M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1.0484532127736146</v>
      </c>
      <c r="N8" s="733" cm="1">
        <f t="array" ref="N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1043.6999997026019</v>
      </c>
      <c r="O8" s="728"/>
      <c r="P8" s="131" cm="1">
        <f t="array" ref="P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1.1567154024518498</v>
      </c>
      <c r="Q8" s="28"/>
      <c r="R8" s="28"/>
      <c r="S8" s="28"/>
      <c r="T8" s="57"/>
      <c r="U8" s="28"/>
      <c r="V8" s="57"/>
      <c r="AC8" s="383"/>
      <c r="AF8" s="376" t="str">
        <f>'Talnagögn | Numerical Data'!$E$5</f>
        <v>Industrial Processes and Product Use (IPPU)</v>
      </c>
      <c r="AG8" s="733" cm="1">
        <f t="array" ref="AG8">INDEX('Talnagögn | Numerical Data'!$1:$1048576,_xlfn.XMATCH($A8,'Talnagögn | Numerical Data'!$A:$A),_xlfn.XMATCH($B$2,'Talnagögn | Numerical Data'!$2:$2))</f>
        <v>1945.9962754246219</v>
      </c>
      <c r="AH8" s="728"/>
      <c r="AI8" s="76">
        <f t="shared" ref="AI8:AI11" si="1">$E8/$E$12</f>
        <v>0.15334640438274741</v>
      </c>
      <c r="AJ8" s="733" cm="1">
        <f t="array" ref="AJ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-70.167350858161626</v>
      </c>
      <c r="AK8" s="728"/>
      <c r="AL8" s="119" cm="1">
        <f t="array" ref="AL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-3.4802408863773504E-2</v>
      </c>
      <c r="AM8" s="733" cm="1">
        <f t="array" ref="AM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996.01300839665078</v>
      </c>
      <c r="AN8" s="728"/>
      <c r="AO8" s="71" cm="1">
        <f t="array" ref="AO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1.0484532127736146</v>
      </c>
      <c r="AP8" s="733" cm="1">
        <f t="array" ref="AP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1043.6999997026019</v>
      </c>
      <c r="AQ8" s="728"/>
      <c r="AR8" s="131" cm="1">
        <f t="array" ref="AR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1.1567154024518498</v>
      </c>
    </row>
    <row r="9" spans="1:45" ht="21" customHeight="1" x14ac:dyDescent="0.25">
      <c r="A9" s="155" t="s">
        <v>52</v>
      </c>
      <c r="B9" s="16" t="s">
        <v>56</v>
      </c>
      <c r="C9" s="617" t="s">
        <v>56</v>
      </c>
      <c r="D9" s="81" t="str">
        <f>'Talnagögn | Numerical Data'!$D$6</f>
        <v>Landbúnaður</v>
      </c>
      <c r="E9" s="733" cm="1">
        <f t="array" ref="E9">INDEX('Talnagögn | Numerical Data'!$1:$1048576,_xlfn.XMATCH($A9,'Talnagögn | Numerical Data'!$A:$A),_xlfn.XMATCH($B$2,'Talnagögn | Numerical Data'!$2:$2))</f>
        <v>693.89491902799296</v>
      </c>
      <c r="F9" s="728"/>
      <c r="G9" s="98">
        <f t="shared" si="0"/>
        <v>5.4679596356977729E-2</v>
      </c>
      <c r="H9" s="733" cm="1">
        <f t="array" ref="H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-19.387103879102824</v>
      </c>
      <c r="I9" s="728"/>
      <c r="J9" s="119" cm="1">
        <f t="array" ref="J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-2.7180138089121564E-2</v>
      </c>
      <c r="K9" s="733" cm="1">
        <f t="array" ref="K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-17.238067864133882</v>
      </c>
      <c r="L9" s="728"/>
      <c r="M9" s="119" cm="1">
        <f t="array" ref="M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-2.4240287234416735E-2</v>
      </c>
      <c r="N9" s="733" cm="1">
        <f t="array" ref="N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-63.370917106567958</v>
      </c>
      <c r="O9" s="728"/>
      <c r="P9" s="57" cm="1">
        <f t="array" ref="P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-8.368384533236406E-2</v>
      </c>
      <c r="Q9" s="28"/>
      <c r="R9" s="28"/>
      <c r="S9" s="28"/>
      <c r="T9" s="57"/>
      <c r="U9" s="28"/>
      <c r="V9" s="57"/>
      <c r="AC9" s="383"/>
      <c r="AF9" s="376" t="str">
        <f>'Talnagögn | Numerical Data'!$E$6</f>
        <v>Agriculture</v>
      </c>
      <c r="AG9" s="733" cm="1">
        <f t="array" ref="AG9">INDEX('Talnagögn | Numerical Data'!$1:$1048576,_xlfn.XMATCH($A9,'Talnagögn | Numerical Data'!$A:$A),_xlfn.XMATCH($B$2,'Talnagögn | Numerical Data'!$2:$2))</f>
        <v>693.89491902799296</v>
      </c>
      <c r="AH9" s="728"/>
      <c r="AI9" s="98">
        <f t="shared" si="1"/>
        <v>5.4679596356977729E-2</v>
      </c>
      <c r="AJ9" s="733" cm="1">
        <f t="array" ref="AJ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-19.387103879102824</v>
      </c>
      <c r="AK9" s="728"/>
      <c r="AL9" s="119" cm="1">
        <f t="array" ref="AL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-2.7180138089121564E-2</v>
      </c>
      <c r="AM9" s="733" cm="1">
        <f t="array" ref="AM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-17.238067864133882</v>
      </c>
      <c r="AN9" s="728"/>
      <c r="AO9" s="119" cm="1">
        <f t="array" ref="AO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-2.4240287234416735E-2</v>
      </c>
      <c r="AP9" s="733" cm="1">
        <f t="array" ref="AP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-63.370917106567958</v>
      </c>
      <c r="AQ9" s="728"/>
      <c r="AR9" s="57" cm="1">
        <f t="array" ref="AR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-8.368384533236406E-2</v>
      </c>
    </row>
    <row r="10" spans="1:45" ht="21" customHeight="1" x14ac:dyDescent="0.25">
      <c r="A10" s="155" t="s">
        <v>53</v>
      </c>
      <c r="B10" s="16" t="s">
        <v>56</v>
      </c>
      <c r="C10" s="617" t="s">
        <v>56</v>
      </c>
      <c r="D10" s="82" t="str">
        <f>'Talnagögn | Numerical Data'!$D$7</f>
        <v>Landnotkun (LULUCF)</v>
      </c>
      <c r="E10" s="733" cm="1">
        <f t="array" ref="E10">INDEX('Talnagögn | Numerical Data'!$1:$1048576,_xlfn.XMATCH($A10,'Talnagögn | Numerical Data'!$A:$A),_xlfn.XMATCH($B$2,'Talnagögn | Numerical Data'!$2:$2))</f>
        <v>8042.6370814570228</v>
      </c>
      <c r="F10" s="728"/>
      <c r="G10" s="76">
        <f t="shared" si="0"/>
        <v>0.63376764579247535</v>
      </c>
      <c r="H10" s="812" cm="1">
        <f t="array" ref="H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-0.91424369098967873</v>
      </c>
      <c r="I10" s="813"/>
      <c r="J10" s="189" cm="1">
        <f t="array" ref="J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-1.1366169668503012E-4</v>
      </c>
      <c r="K10" s="733" cm="1">
        <f t="array" ref="K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-51.678426327570378</v>
      </c>
      <c r="L10" s="728"/>
      <c r="M10" s="127" cm="1">
        <f t="array" ref="M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-6.3845332292605805E-3</v>
      </c>
      <c r="N10" s="733" cm="1">
        <f t="array" ref="N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-102.14277063863574</v>
      </c>
      <c r="O10" s="728"/>
      <c r="P10" s="61" cm="1">
        <f t="array" ref="P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-1.2540887843930371E-2</v>
      </c>
      <c r="Q10" s="28"/>
      <c r="R10" s="28"/>
      <c r="S10" s="28"/>
      <c r="T10" s="57"/>
      <c r="U10" s="28"/>
      <c r="V10" s="57"/>
      <c r="AC10" s="383"/>
      <c r="AF10" s="420" t="str">
        <f>'Talnagögn | Numerical Data'!$E$7</f>
        <v>Land use, Land-Use Change and Forestry (LULUCF)</v>
      </c>
      <c r="AG10" s="733" cm="1">
        <f t="array" ref="AG10">INDEX('Talnagögn | Numerical Data'!$1:$1048576,_xlfn.XMATCH($A10,'Talnagögn | Numerical Data'!$A:$A),_xlfn.XMATCH($B$2,'Talnagögn | Numerical Data'!$2:$2))</f>
        <v>8042.6370814570228</v>
      </c>
      <c r="AH10" s="728"/>
      <c r="AI10" s="76">
        <f t="shared" si="1"/>
        <v>0.63376764579247535</v>
      </c>
      <c r="AJ10" s="812" cm="1">
        <f t="array" ref="AJ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-0.91424369098967873</v>
      </c>
      <c r="AK10" s="813"/>
      <c r="AL10" s="189" cm="1">
        <f t="array" ref="AL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-1.1366169668503012E-4</v>
      </c>
      <c r="AM10" s="733" cm="1">
        <f t="array" ref="AM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-51.678426327570378</v>
      </c>
      <c r="AN10" s="728"/>
      <c r="AO10" s="127" cm="1">
        <f t="array" ref="AO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-6.3845332292605805E-3</v>
      </c>
      <c r="AP10" s="733" cm="1">
        <f t="array" ref="AP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-102.14277063863574</v>
      </c>
      <c r="AQ10" s="728"/>
      <c r="AR10" s="61" cm="1">
        <f t="array" ref="AR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-1.2540887843930371E-2</v>
      </c>
    </row>
    <row r="11" spans="1:45" ht="21" customHeight="1" x14ac:dyDescent="0.25">
      <c r="A11" s="155" t="s">
        <v>54</v>
      </c>
      <c r="B11" s="16" t="s">
        <v>56</v>
      </c>
      <c r="C11" s="617" t="s">
        <v>56</v>
      </c>
      <c r="D11" s="83" t="str">
        <f>'Talnagögn | Numerical Data'!$D$8</f>
        <v>Úrgangur</v>
      </c>
      <c r="E11" s="766" cm="1">
        <f t="array" ref="E11">INDEX('Talnagögn | Numerical Data'!$1:$1048576,_xlfn.XMATCH($A11,'Talnagögn | Numerical Data'!$A:$A),_xlfn.XMATCH($B$2,'Talnagögn | Numerical Data'!$2:$2))</f>
        <v>233.17458725375354</v>
      </c>
      <c r="F11" s="767"/>
      <c r="G11" s="87">
        <f t="shared" si="0"/>
        <v>1.8374384884674123E-2</v>
      </c>
      <c r="H11" s="766" cm="1">
        <f t="array" ref="H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-13.359158480900049</v>
      </c>
      <c r="I11" s="767"/>
      <c r="J11" s="120" cm="1">
        <f t="array" ref="J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-5.4187950785766326E-2</v>
      </c>
      <c r="K11" s="766" cm="1">
        <f t="array" ref="K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-76.280499096175959</v>
      </c>
      <c r="L11" s="767"/>
      <c r="M11" s="128" cm="1">
        <f t="array" ref="M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-0.24649941933712005</v>
      </c>
      <c r="N11" s="766" cm="1">
        <f t="array" ref="N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25.693451904575966</v>
      </c>
      <c r="O11" s="767"/>
      <c r="P11" s="75" cm="1">
        <f t="array" ref="P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0.12383512294424026</v>
      </c>
      <c r="Q11" s="28"/>
      <c r="R11" s="28"/>
      <c r="S11" s="28"/>
      <c r="T11" s="57"/>
      <c r="U11" s="28"/>
      <c r="V11" s="57"/>
      <c r="AC11" s="383"/>
      <c r="AF11" s="265" t="str">
        <f>'Talnagögn | Numerical Data'!$E$8</f>
        <v>Waste</v>
      </c>
      <c r="AG11" s="766" cm="1">
        <f t="array" ref="AG11">INDEX('Talnagögn | Numerical Data'!$1:$1048576,_xlfn.XMATCH($A11,'Talnagögn | Numerical Data'!$A:$A),_xlfn.XMATCH($B$2,'Talnagögn | Numerical Data'!$2:$2))</f>
        <v>233.17458725375354</v>
      </c>
      <c r="AH11" s="767"/>
      <c r="AI11" s="87">
        <f t="shared" si="1"/>
        <v>1.8374384884674123E-2</v>
      </c>
      <c r="AJ11" s="766" cm="1">
        <f t="array" ref="AJ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-13.359158480900049</v>
      </c>
      <c r="AK11" s="767"/>
      <c r="AL11" s="120" cm="1">
        <f t="array" ref="AL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-5.4187950785766326E-2</v>
      </c>
      <c r="AM11" s="766" cm="1">
        <f t="array" ref="AM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-76.280499096175959</v>
      </c>
      <c r="AN11" s="767"/>
      <c r="AO11" s="128" cm="1">
        <f t="array" ref="AO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-0.24649941933712005</v>
      </c>
      <c r="AP11" s="766" cm="1">
        <f t="array" ref="AP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25.693451904575966</v>
      </c>
      <c r="AQ11" s="767"/>
      <c r="AR11" s="75" cm="1">
        <f t="array" ref="AR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0.12383512294424026</v>
      </c>
    </row>
    <row r="12" spans="1:45" ht="21" customHeight="1" x14ac:dyDescent="0.25">
      <c r="A12" s="155" t="s">
        <v>55</v>
      </c>
      <c r="B12" s="16" t="s">
        <v>56</v>
      </c>
      <c r="C12" s="617" t="s">
        <v>56</v>
      </c>
      <c r="D12" s="62" t="s">
        <v>288</v>
      </c>
      <c r="E12" s="798" cm="1">
        <f t="array" ref="E12">INDEX('Talnagögn | Numerical Data'!$1:$1048576,_xlfn.XMATCH($A12,'Talnagögn | Numerical Data'!$A:$A),_xlfn.XMATCH($B$2,'Talnagögn | Numerical Data'!$2:$2))</f>
        <v>12690.198268799842</v>
      </c>
      <c r="F12" s="799"/>
      <c r="G12" s="134">
        <f>SUM($G$7:$G$11)</f>
        <v>0.99999999999999989</v>
      </c>
      <c r="H12" s="798" cm="1">
        <f t="array" ref="H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-136.3801408929794</v>
      </c>
      <c r="I12" s="799"/>
      <c r="J12" s="100" cm="1">
        <f t="array" ref="J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-1.0632620527226466E-2</v>
      </c>
      <c r="K12" s="798" cm="1">
        <f t="array" ref="K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466.80345152430527</v>
      </c>
      <c r="L12" s="799"/>
      <c r="M12" s="100" cm="1">
        <f t="array" ref="M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3.818934579979083E-2</v>
      </c>
      <c r="N12" s="798" cm="1">
        <f t="array" ref="N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837.82000080177204</v>
      </c>
      <c r="O12" s="799"/>
      <c r="P12" s="597" cm="1">
        <f t="array" ref="P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7.068792286725456E-2</v>
      </c>
      <c r="Q12" s="28"/>
      <c r="R12" s="28"/>
      <c r="S12" s="28"/>
      <c r="T12" s="57"/>
      <c r="U12" s="28"/>
      <c r="V12" s="57"/>
      <c r="AC12" s="383"/>
      <c r="AF12" s="62" t="s">
        <v>231</v>
      </c>
      <c r="AG12" s="798" cm="1">
        <f t="array" ref="AG12">INDEX('Talnagögn | Numerical Data'!$1:$1048576,_xlfn.XMATCH($A12,'Talnagögn | Numerical Data'!$A:$A),_xlfn.XMATCH($B$2,'Talnagögn | Numerical Data'!$2:$2))</f>
        <v>12690.198268799842</v>
      </c>
      <c r="AH12" s="799"/>
      <c r="AI12" s="134">
        <f>SUM($G$7:$G$11)</f>
        <v>0.99999999999999989</v>
      </c>
      <c r="AJ12" s="798" cm="1">
        <f t="array" ref="AJ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-136.3801408929794</v>
      </c>
      <c r="AK12" s="799"/>
      <c r="AL12" s="100" cm="1">
        <f t="array" ref="AL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-1.0632620527226466E-2</v>
      </c>
      <c r="AM12" s="798" cm="1">
        <f t="array" ref="AM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466.80345152430527</v>
      </c>
      <c r="AN12" s="799"/>
      <c r="AO12" s="100" cm="1">
        <f t="array" ref="AO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3.818934579979083E-2</v>
      </c>
      <c r="AP12" s="798" cm="1">
        <f t="array" ref="AP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837.82000080177204</v>
      </c>
      <c r="AQ12" s="799"/>
      <c r="AR12" s="597" cm="1">
        <f t="array" ref="AR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7.068792286725456E-2</v>
      </c>
    </row>
    <row r="13" spans="1:45" x14ac:dyDescent="0.25">
      <c r="B13" s="16" t="s">
        <v>56</v>
      </c>
      <c r="C13" s="617" t="s">
        <v>56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5"/>
      <c r="AB13" s="1"/>
      <c r="AC13" s="377"/>
    </row>
    <row r="14" spans="1:45" s="1" customFormat="1" x14ac:dyDescent="0.25">
      <c r="A14" s="259"/>
      <c r="B14" s="16" t="s">
        <v>56</v>
      </c>
      <c r="C14" s="617" t="s">
        <v>56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5"/>
      <c r="AC14" s="377"/>
    </row>
    <row r="15" spans="1:45" s="1" customFormat="1" ht="21.6" customHeight="1" x14ac:dyDescent="0.25">
      <c r="A15" s="259"/>
      <c r="B15" s="16" t="s">
        <v>56</v>
      </c>
      <c r="C15" s="617" t="s">
        <v>56</v>
      </c>
      <c r="D15" s="809" t="str">
        <f>"Losun árið "&amp;$B$2&amp;", án losunar frá landnotkun (LULUCF), í samanburði við losun fyrri ára"</f>
        <v>Losun árið 2023, án losunar frá landnotkun (LULUCF), í samanburði við losun fyrri ára</v>
      </c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09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5"/>
      <c r="AC15" s="377"/>
      <c r="AF15" s="809" t="str">
        <f>"Emissions in "&amp;$B$2&amp;" excluding emissions from LULUCF, compared to emissions in previous years"</f>
        <v>Emissions in 2023 excluding emissions from LULUCF, compared to emissions in previous years</v>
      </c>
      <c r="AG15" s="809"/>
      <c r="AH15" s="809"/>
      <c r="AI15" s="809"/>
      <c r="AJ15" s="809"/>
      <c r="AK15" s="809"/>
      <c r="AL15" s="809"/>
      <c r="AM15" s="809"/>
      <c r="AN15" s="809"/>
      <c r="AO15" s="809"/>
      <c r="AP15" s="809"/>
      <c r="AQ15" s="809"/>
      <c r="AR15" s="809"/>
    </row>
    <row r="16" spans="1:45" s="1" customFormat="1" ht="33" customHeight="1" x14ac:dyDescent="0.25">
      <c r="A16" s="259"/>
      <c r="B16" s="16" t="s">
        <v>56</v>
      </c>
      <c r="C16" s="617" t="s">
        <v>56</v>
      </c>
      <c r="D16" s="807"/>
      <c r="E16" s="707" t="str">
        <f>"Losun "&amp;$B$2</f>
        <v>Losun 2023</v>
      </c>
      <c r="F16" s="709"/>
      <c r="G16" s="708"/>
      <c r="H16" s="709" t="str">
        <f>"Breyting frá "&amp;$B$3</f>
        <v>Breyting frá 2022</v>
      </c>
      <c r="I16" s="709"/>
      <c r="J16" s="708"/>
      <c r="K16" s="815" t="str">
        <f>"Breyting frá "&amp;$B$4</f>
        <v>Breyting frá 2005</v>
      </c>
      <c r="L16" s="709"/>
      <c r="M16" s="708"/>
      <c r="N16" s="707" t="str">
        <f>"Breyting frá "&amp;$B$5</f>
        <v>Breyting frá 1990</v>
      </c>
      <c r="O16" s="709"/>
      <c r="P16" s="709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5"/>
      <c r="AC16" s="377"/>
      <c r="AF16" s="807"/>
      <c r="AG16" s="698" t="str">
        <f>"Emissions in "&amp;$B$2</f>
        <v>Emissions in 2023</v>
      </c>
      <c r="AH16" s="700"/>
      <c r="AI16" s="699"/>
      <c r="AJ16" s="700" t="str">
        <f>"Change from "&amp;$B$3</f>
        <v>Change from 2022</v>
      </c>
      <c r="AK16" s="700"/>
      <c r="AL16" s="699"/>
      <c r="AM16" s="700" t="str">
        <f>"Change from "&amp;$B$4</f>
        <v>Change from 2005</v>
      </c>
      <c r="AN16" s="700"/>
      <c r="AO16" s="699"/>
      <c r="AP16" s="698" t="str">
        <f>"Change from "&amp;$B$5</f>
        <v>Change from 1990</v>
      </c>
      <c r="AQ16" s="700"/>
      <c r="AR16" s="700"/>
    </row>
    <row r="17" spans="1:44" s="1" customFormat="1" ht="28.5" customHeight="1" x14ac:dyDescent="0.25">
      <c r="A17" s="259"/>
      <c r="B17" s="16" t="s">
        <v>56</v>
      </c>
      <c r="C17" s="617" t="s">
        <v>56</v>
      </c>
      <c r="D17" s="807"/>
      <c r="E17" s="808" t="s">
        <v>5</v>
      </c>
      <c r="F17" s="808"/>
      <c r="G17" s="606" t="s">
        <v>4</v>
      </c>
      <c r="H17" s="808" t="s">
        <v>5</v>
      </c>
      <c r="I17" s="808"/>
      <c r="J17" s="606" t="s">
        <v>4</v>
      </c>
      <c r="K17" s="808" t="s">
        <v>5</v>
      </c>
      <c r="L17" s="808"/>
      <c r="M17" s="606" t="s">
        <v>4</v>
      </c>
      <c r="N17" s="808" t="s">
        <v>5</v>
      </c>
      <c r="O17" s="808"/>
      <c r="P17" s="605" t="s">
        <v>4</v>
      </c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5"/>
      <c r="AC17" s="377"/>
      <c r="AF17" s="807"/>
      <c r="AG17" s="808" t="s">
        <v>204</v>
      </c>
      <c r="AH17" s="808"/>
      <c r="AI17" s="606" t="s">
        <v>4</v>
      </c>
      <c r="AJ17" s="808" t="s">
        <v>204</v>
      </c>
      <c r="AK17" s="808"/>
      <c r="AL17" s="606" t="s">
        <v>4</v>
      </c>
      <c r="AM17" s="808" t="s">
        <v>204</v>
      </c>
      <c r="AN17" s="808"/>
      <c r="AO17" s="606" t="s">
        <v>4</v>
      </c>
      <c r="AP17" s="808" t="s">
        <v>204</v>
      </c>
      <c r="AQ17" s="808"/>
      <c r="AR17" s="605" t="s">
        <v>4</v>
      </c>
    </row>
    <row r="18" spans="1:44" s="1" customFormat="1" ht="21" customHeight="1" x14ac:dyDescent="0.25">
      <c r="A18" s="155" t="s">
        <v>50</v>
      </c>
      <c r="B18" s="16" t="s">
        <v>56</v>
      </c>
      <c r="C18" s="617" t="s">
        <v>56</v>
      </c>
      <c r="D18" s="81" t="s">
        <v>3</v>
      </c>
      <c r="E18" s="728" cm="1">
        <f t="array" ref="E18">INDEX('Talnagögn | Numerical Data'!$1:$1048576,_xlfn.XMATCH($A18,'Talnagögn | Numerical Data'!$A:$A),_xlfn.XMATCH($B$2,'Talnagögn | Numerical Data'!$2:$2))</f>
        <v>1774.4954056364502</v>
      </c>
      <c r="F18" s="728"/>
      <c r="G18" s="76">
        <f>$E18/$E$22</f>
        <v>0.3818121664474512</v>
      </c>
      <c r="H18" s="814" cm="1">
        <f t="array" ref="H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-32.552283983826555</v>
      </c>
      <c r="I18" s="814"/>
      <c r="J18" s="119" cm="1">
        <f t="array" ref="J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-1.801407022670598E-2</v>
      </c>
      <c r="K18" s="728" cm="1">
        <f t="array" ref="K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-384.01256358446585</v>
      </c>
      <c r="L18" s="728"/>
      <c r="M18" s="71" cm="1">
        <f t="array" ref="M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-0.17790648404373044</v>
      </c>
      <c r="N18" s="733" cm="1">
        <f t="array" ref="N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-66.059763060203295</v>
      </c>
      <c r="O18" s="728"/>
      <c r="P18" s="61" cm="1">
        <f t="array" ref="P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-3.5891215967724599E-2</v>
      </c>
      <c r="Q18" s="28"/>
      <c r="R18" s="28"/>
      <c r="S18" s="28"/>
      <c r="T18" s="57"/>
      <c r="U18" s="28"/>
      <c r="V18" s="57"/>
      <c r="W18" s="16"/>
      <c r="X18" s="16"/>
      <c r="Y18" s="16"/>
      <c r="Z18" s="16"/>
      <c r="AA18" s="16"/>
      <c r="AB18" s="16"/>
      <c r="AC18" s="383"/>
      <c r="AF18" s="376" t="str">
        <f>'Talnagögn | Numerical Data'!$E$4</f>
        <v>Energy</v>
      </c>
      <c r="AG18" s="733" cm="1">
        <f t="array" ref="AG18">INDEX('Talnagögn | Numerical Data'!$1:$1048576,_xlfn.XMATCH($A18,'Talnagögn | Numerical Data'!$A:$A),_xlfn.XMATCH($B$2,'Talnagögn | Numerical Data'!$2:$2))</f>
        <v>1774.4954056364502</v>
      </c>
      <c r="AH18" s="728"/>
      <c r="AI18" s="76">
        <f>$E18/$E$22</f>
        <v>0.3818121664474512</v>
      </c>
      <c r="AJ18" s="810" cm="1">
        <f t="array" ref="AJ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-32.552283983826555</v>
      </c>
      <c r="AK18" s="811"/>
      <c r="AL18" s="119" cm="1">
        <f t="array" ref="AL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-1.801407022670598E-2</v>
      </c>
      <c r="AM18" s="733" cm="1">
        <f t="array" ref="AM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-384.01256358446585</v>
      </c>
      <c r="AN18" s="728"/>
      <c r="AO18" s="71" cm="1">
        <f t="array" ref="AO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-0.17790648404373044</v>
      </c>
      <c r="AP18" s="733" cm="1">
        <f t="array" ref="AP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-66.059763060203295</v>
      </c>
      <c r="AQ18" s="728"/>
      <c r="AR18" s="57" cm="1">
        <f t="array" ref="AR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-3.5891215967724599E-2</v>
      </c>
    </row>
    <row r="19" spans="1:44" ht="21" customHeight="1" x14ac:dyDescent="0.25">
      <c r="A19" s="155" t="s">
        <v>51</v>
      </c>
      <c r="B19" s="16" t="s">
        <v>56</v>
      </c>
      <c r="C19" s="617" t="s">
        <v>56</v>
      </c>
      <c r="D19" s="376" t="s">
        <v>284</v>
      </c>
      <c r="E19" s="733" cm="1">
        <f t="array" ref="E19">INDEX('Talnagögn | Numerical Data'!$1:$1048576,_xlfn.XMATCH($A19,'Talnagögn | Numerical Data'!$A:$A),_xlfn.XMATCH($B$2,'Talnagögn | Numerical Data'!$2:$2))</f>
        <v>1945.9962754246219</v>
      </c>
      <c r="F19" s="728"/>
      <c r="G19" s="76">
        <f t="shared" ref="G19:G22" si="2">$E19/$E$22</f>
        <v>0.41871342774880588</v>
      </c>
      <c r="H19" s="733" cm="1">
        <f t="array" ref="H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-70.167350858161626</v>
      </c>
      <c r="I19" s="728"/>
      <c r="J19" s="119" cm="1">
        <f t="array" ref="J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-3.4802408863773504E-2</v>
      </c>
      <c r="K19" s="733" cm="1">
        <f t="array" ref="K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996.01300839665078</v>
      </c>
      <c r="L19" s="728"/>
      <c r="M19" s="71" cm="1">
        <f t="array" ref="M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1.0484532127736146</v>
      </c>
      <c r="N19" s="733" cm="1">
        <f t="array" ref="N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1043.6999997026019</v>
      </c>
      <c r="O19" s="728"/>
      <c r="P19" s="131" cm="1">
        <f t="array" ref="P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1.1567154024518498</v>
      </c>
      <c r="Q19" s="28"/>
      <c r="R19" s="28"/>
      <c r="S19" s="28"/>
      <c r="T19" s="57"/>
      <c r="U19" s="28"/>
      <c r="V19" s="57"/>
      <c r="AC19" s="383"/>
      <c r="AF19" s="376" t="str">
        <f>'Talnagögn | Numerical Data'!$E$5</f>
        <v>Industrial Processes and Product Use (IPPU)</v>
      </c>
      <c r="AG19" s="733" cm="1">
        <f t="array" ref="AG19">INDEX('Talnagögn | Numerical Data'!$1:$1048576,_xlfn.XMATCH($A19,'Talnagögn | Numerical Data'!$A:$A),_xlfn.XMATCH($B$2,'Talnagögn | Numerical Data'!$2:$2))</f>
        <v>1945.9962754246219</v>
      </c>
      <c r="AH19" s="728"/>
      <c r="AI19" s="76">
        <f t="shared" ref="AI19:AI22" si="3">$E19/$E$22</f>
        <v>0.41871342774880588</v>
      </c>
      <c r="AJ19" s="733" cm="1">
        <f t="array" ref="AJ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-70.167350858161626</v>
      </c>
      <c r="AK19" s="728"/>
      <c r="AL19" s="119" cm="1">
        <f t="array" ref="AL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-3.4802408863773504E-2</v>
      </c>
      <c r="AM19" s="733" cm="1">
        <f t="array" ref="AM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996.01300839665078</v>
      </c>
      <c r="AN19" s="728"/>
      <c r="AO19" s="71" cm="1">
        <f t="array" ref="AO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1.0484532127736146</v>
      </c>
      <c r="AP19" s="733" cm="1">
        <f t="array" ref="AP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1043.6999997026019</v>
      </c>
      <c r="AQ19" s="728"/>
      <c r="AR19" s="131" cm="1">
        <f t="array" ref="AR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1.1567154024518498</v>
      </c>
    </row>
    <row r="20" spans="1:44" ht="21" customHeight="1" x14ac:dyDescent="0.25">
      <c r="A20" s="155" t="s">
        <v>52</v>
      </c>
      <c r="B20" s="16" t="s">
        <v>56</v>
      </c>
      <c r="C20" s="617" t="s">
        <v>56</v>
      </c>
      <c r="D20" s="81" t="s">
        <v>2</v>
      </c>
      <c r="E20" s="733" cm="1">
        <f t="array" ref="E20">INDEX('Talnagögn | Numerical Data'!$1:$1048576,_xlfn.XMATCH($A20,'Talnagögn | Numerical Data'!$A:$A),_xlfn.XMATCH($B$2,'Talnagögn | Numerical Data'!$2:$2))</f>
        <v>693.89491902799296</v>
      </c>
      <c r="F20" s="728"/>
      <c r="G20" s="76">
        <f t="shared" si="2"/>
        <v>0.149303019596116</v>
      </c>
      <c r="H20" s="733" cm="1">
        <f t="array" ref="H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-19.387103879102824</v>
      </c>
      <c r="I20" s="728"/>
      <c r="J20" s="119" cm="1">
        <f t="array" ref="J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-2.7180138089121564E-2</v>
      </c>
      <c r="K20" s="733" cm="1">
        <f t="array" ref="K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-17.238067864133882</v>
      </c>
      <c r="L20" s="728"/>
      <c r="M20" s="119" cm="1">
        <f t="array" ref="M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-2.4240287234416735E-2</v>
      </c>
      <c r="N20" s="733" cm="1">
        <f t="array" ref="N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-63.370917106567958</v>
      </c>
      <c r="O20" s="728"/>
      <c r="P20" s="57" cm="1">
        <f t="array" ref="P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-8.368384533236406E-2</v>
      </c>
      <c r="Q20" s="28"/>
      <c r="R20" s="28"/>
      <c r="S20" s="28"/>
      <c r="T20" s="57"/>
      <c r="U20" s="28"/>
      <c r="V20" s="57"/>
      <c r="AC20" s="383"/>
      <c r="AF20" s="376" t="str">
        <f>'Talnagögn | Numerical Data'!$E$6</f>
        <v>Agriculture</v>
      </c>
      <c r="AG20" s="733" cm="1">
        <f t="array" ref="AG20">INDEX('Talnagögn | Numerical Data'!$1:$1048576,_xlfn.XMATCH($A20,'Talnagögn | Numerical Data'!$A:$A),_xlfn.XMATCH($B$2,'Talnagögn | Numerical Data'!$2:$2))</f>
        <v>693.89491902799296</v>
      </c>
      <c r="AH20" s="728"/>
      <c r="AI20" s="76">
        <f t="shared" si="3"/>
        <v>0.149303019596116</v>
      </c>
      <c r="AJ20" s="733" cm="1">
        <f t="array" ref="AJ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-19.387103879102824</v>
      </c>
      <c r="AK20" s="728"/>
      <c r="AL20" s="119" cm="1">
        <f t="array" ref="AL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-2.7180138089121564E-2</v>
      </c>
      <c r="AM20" s="733" cm="1">
        <f t="array" ref="AM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-17.238067864133882</v>
      </c>
      <c r="AN20" s="728"/>
      <c r="AO20" s="119" cm="1">
        <f t="array" ref="AO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-2.4240287234416735E-2</v>
      </c>
      <c r="AP20" s="733" cm="1">
        <f t="array" ref="AP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-63.370917106567958</v>
      </c>
      <c r="AQ20" s="728"/>
      <c r="AR20" s="57" cm="1">
        <f t="array" ref="AR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-8.368384533236406E-2</v>
      </c>
    </row>
    <row r="21" spans="1:44" ht="21" customHeight="1" x14ac:dyDescent="0.25">
      <c r="A21" s="155" t="s">
        <v>54</v>
      </c>
      <c r="B21" s="16" t="s">
        <v>56</v>
      </c>
      <c r="C21" s="617" t="s">
        <v>56</v>
      </c>
      <c r="D21" s="83" t="s">
        <v>1</v>
      </c>
      <c r="E21" s="766" cm="1">
        <f t="array" ref="E21">INDEX('Talnagögn | Numerical Data'!$1:$1048576,_xlfn.XMATCH($A21,'Talnagögn | Numerical Data'!$A:$A),_xlfn.XMATCH($B$2,'Talnagögn | Numerical Data'!$2:$2))</f>
        <v>233.17458725375354</v>
      </c>
      <c r="F21" s="767"/>
      <c r="G21" s="87">
        <f t="shared" si="2"/>
        <v>5.0171386207626886E-2</v>
      </c>
      <c r="H21" s="766" cm="1">
        <f t="array" ref="H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-13.359158480900049</v>
      </c>
      <c r="I21" s="767"/>
      <c r="J21" s="120" cm="1">
        <f t="array" ref="J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-5.4187950785766326E-2</v>
      </c>
      <c r="K21" s="766" cm="1">
        <f t="array" ref="K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-76.280499096175959</v>
      </c>
      <c r="L21" s="767"/>
      <c r="M21" s="128" cm="1">
        <f t="array" ref="M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-0.24649941933712005</v>
      </c>
      <c r="N21" s="766" cm="1">
        <f t="array" ref="N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25.693451904575966</v>
      </c>
      <c r="O21" s="767"/>
      <c r="P21" s="75" cm="1">
        <f t="array" ref="P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0.12383512294424026</v>
      </c>
      <c r="Q21" s="28"/>
      <c r="R21" s="28"/>
      <c r="S21" s="28"/>
      <c r="T21" s="57"/>
      <c r="U21" s="28"/>
      <c r="V21" s="57"/>
      <c r="AC21" s="383"/>
      <c r="AF21" s="265" t="str">
        <f>'Talnagögn | Numerical Data'!$E$8</f>
        <v>Waste</v>
      </c>
      <c r="AG21" s="766" cm="1">
        <f t="array" ref="AG21">INDEX('Talnagögn | Numerical Data'!$1:$1048576,_xlfn.XMATCH($A21,'Talnagögn | Numerical Data'!$A:$A),_xlfn.XMATCH($B$2,'Talnagögn | Numerical Data'!$2:$2))</f>
        <v>233.17458725375354</v>
      </c>
      <c r="AH21" s="767"/>
      <c r="AI21" s="87">
        <f t="shared" si="3"/>
        <v>5.0171386207626886E-2</v>
      </c>
      <c r="AJ21" s="766" cm="1">
        <f t="array" ref="AJ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-13.359158480900049</v>
      </c>
      <c r="AK21" s="767"/>
      <c r="AL21" s="120" cm="1">
        <f t="array" ref="AL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-5.4187950785766326E-2</v>
      </c>
      <c r="AM21" s="766" cm="1">
        <f t="array" ref="AM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-76.280499096175959</v>
      </c>
      <c r="AN21" s="767"/>
      <c r="AO21" s="128" cm="1">
        <f t="array" ref="AO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-0.24649941933712005</v>
      </c>
      <c r="AP21" s="766" cm="1">
        <f t="array" ref="AP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25.693451904575966</v>
      </c>
      <c r="AQ21" s="767"/>
      <c r="AR21" s="75" cm="1">
        <f t="array" ref="AR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0.12383512294424026</v>
      </c>
    </row>
    <row r="22" spans="1:44" ht="21" customHeight="1" x14ac:dyDescent="0.25">
      <c r="A22" s="155" t="s">
        <v>57</v>
      </c>
      <c r="B22" s="16" t="s">
        <v>56</v>
      </c>
      <c r="C22" s="617" t="s">
        <v>56</v>
      </c>
      <c r="D22" s="62" t="s">
        <v>289</v>
      </c>
      <c r="E22" s="798" cm="1">
        <f t="array" ref="E22">INDEX('Talnagögn | Numerical Data'!$1:$1048576,_xlfn.XMATCH($A22,'Talnagögn | Numerical Data'!$A:$A),_xlfn.XMATCH($B$2,'Talnagögn | Numerical Data'!$2:$2))</f>
        <v>4647.5611873428188</v>
      </c>
      <c r="F22" s="799"/>
      <c r="G22" s="134">
        <f t="shared" si="2"/>
        <v>1</v>
      </c>
      <c r="H22" s="798" cm="1">
        <f t="array" ref="H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-135.46589720199063</v>
      </c>
      <c r="I22" s="799"/>
      <c r="J22" s="100" cm="1">
        <f t="array" ref="J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-2.8322209932642006E-2</v>
      </c>
      <c r="K22" s="798" cm="1">
        <f t="array" ref="K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518.48187785187474</v>
      </c>
      <c r="L22" s="799"/>
      <c r="M22" s="576" cm="1">
        <f t="array" ref="M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0.12556839890677618</v>
      </c>
      <c r="N22" s="798" cm="1">
        <f t="array" ref="N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939.96277144040687</v>
      </c>
      <c r="O22" s="799"/>
      <c r="P22" s="129" cm="1">
        <f t="array" ref="P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0.25352335015809002</v>
      </c>
      <c r="Q22" s="28"/>
      <c r="R22" s="28"/>
      <c r="S22" s="28"/>
      <c r="T22" s="57"/>
      <c r="U22" s="28"/>
      <c r="V22" s="57"/>
      <c r="AC22" s="383"/>
      <c r="AF22" s="62" t="s">
        <v>232</v>
      </c>
      <c r="AG22" s="798" cm="1">
        <f t="array" ref="AG22">INDEX('Talnagögn | Numerical Data'!$1:$1048576,_xlfn.XMATCH($A22,'Talnagögn | Numerical Data'!$A:$A),_xlfn.XMATCH($B$2,'Talnagögn | Numerical Data'!$2:$2))</f>
        <v>4647.5611873428188</v>
      </c>
      <c r="AH22" s="799"/>
      <c r="AI22" s="134">
        <f t="shared" si="3"/>
        <v>1</v>
      </c>
      <c r="AJ22" s="798" cm="1">
        <f t="array" ref="AJ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-135.46589720199063</v>
      </c>
      <c r="AK22" s="799"/>
      <c r="AL22" s="100" cm="1">
        <f t="array" ref="AL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-2.8322209932642006E-2</v>
      </c>
      <c r="AM22" s="798" cm="1">
        <f t="array" ref="AM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518.48187785187474</v>
      </c>
      <c r="AN22" s="799"/>
      <c r="AO22" s="576" cm="1">
        <f t="array" ref="AO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0.12556839890677618</v>
      </c>
      <c r="AP22" s="798" cm="1">
        <f t="array" ref="AP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939.96277144040687</v>
      </c>
      <c r="AQ22" s="799"/>
      <c r="AR22" s="129" cm="1">
        <f t="array" ref="AR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0.25352335015809002</v>
      </c>
    </row>
    <row r="23" spans="1:44" s="1" customFormat="1" ht="13.5" customHeight="1" x14ac:dyDescent="0.25">
      <c r="A23" s="253"/>
      <c r="B23" s="5"/>
      <c r="C23" s="617" t="s">
        <v>56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5"/>
      <c r="AC23" s="377"/>
    </row>
    <row r="24" spans="1:44" s="1" customFormat="1" ht="13.5" customHeight="1" x14ac:dyDescent="0.25">
      <c r="A24" s="255"/>
      <c r="B24" s="5"/>
      <c r="C24" s="617" t="s">
        <v>56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383"/>
    </row>
    <row r="25" spans="1:44" ht="15" customHeight="1" x14ac:dyDescent="0.25">
      <c r="B25" s="5"/>
      <c r="C25" s="617" t="s">
        <v>56</v>
      </c>
      <c r="AC25" s="383"/>
    </row>
    <row r="26" spans="1:44" ht="15" customHeight="1" x14ac:dyDescent="0.25">
      <c r="B26" s="5"/>
      <c r="C26" s="617" t="s">
        <v>56</v>
      </c>
      <c r="AC26" s="383"/>
    </row>
    <row r="27" spans="1:44" ht="15" customHeight="1" x14ac:dyDescent="0.25">
      <c r="B27" s="5"/>
      <c r="C27" s="617" t="s">
        <v>56</v>
      </c>
      <c r="AC27" s="383"/>
    </row>
    <row r="28" spans="1:44" x14ac:dyDescent="0.25">
      <c r="B28" s="5"/>
      <c r="C28" s="617" t="s">
        <v>56</v>
      </c>
      <c r="AC28" s="383"/>
    </row>
    <row r="29" spans="1:44" x14ac:dyDescent="0.25">
      <c r="B29" s="5"/>
      <c r="C29" s="617" t="s">
        <v>56</v>
      </c>
      <c r="AC29" s="383"/>
    </row>
    <row r="30" spans="1:44" x14ac:dyDescent="0.25">
      <c r="B30" s="5"/>
      <c r="C30" s="617" t="s">
        <v>56</v>
      </c>
      <c r="AC30" s="383"/>
    </row>
    <row r="31" spans="1:44" x14ac:dyDescent="0.25">
      <c r="B31" s="16" t="s">
        <v>56</v>
      </c>
      <c r="C31" s="617" t="s">
        <v>56</v>
      </c>
      <c r="AC31" s="383"/>
    </row>
    <row r="32" spans="1:44" ht="15" customHeight="1" x14ac:dyDescent="0.25">
      <c r="B32" s="16" t="s">
        <v>56</v>
      </c>
      <c r="C32" s="617" t="s">
        <v>56</v>
      </c>
      <c r="AC32" s="383"/>
    </row>
    <row r="33" spans="2:29" ht="15" customHeight="1" x14ac:dyDescent="0.25">
      <c r="B33" s="16" t="s">
        <v>56</v>
      </c>
      <c r="C33" s="617" t="s">
        <v>56</v>
      </c>
      <c r="AC33" s="383"/>
    </row>
    <row r="34" spans="2:29" ht="15" customHeight="1" x14ac:dyDescent="0.25">
      <c r="B34" s="16" t="s">
        <v>56</v>
      </c>
      <c r="C34" s="617" t="s">
        <v>56</v>
      </c>
      <c r="AC34" s="383"/>
    </row>
    <row r="35" spans="2:29" x14ac:dyDescent="0.25">
      <c r="C35" s="617" t="s">
        <v>56</v>
      </c>
      <c r="AC35" s="383"/>
    </row>
    <row r="36" spans="2:29" x14ac:dyDescent="0.25">
      <c r="C36" s="617" t="s">
        <v>56</v>
      </c>
      <c r="AC36" s="383"/>
    </row>
    <row r="37" spans="2:29" x14ac:dyDescent="0.25">
      <c r="C37" s="617" t="s">
        <v>56</v>
      </c>
      <c r="AC37" s="383"/>
    </row>
    <row r="38" spans="2:29" x14ac:dyDescent="0.25">
      <c r="C38" s="617" t="s">
        <v>56</v>
      </c>
      <c r="AC38" s="383"/>
    </row>
    <row r="39" spans="2:29" x14ac:dyDescent="0.25">
      <c r="C39" s="617" t="s">
        <v>56</v>
      </c>
      <c r="AC39" s="383"/>
    </row>
    <row r="40" spans="2:29" x14ac:dyDescent="0.25">
      <c r="C40" s="617" t="s">
        <v>56</v>
      </c>
      <c r="AC40" s="383"/>
    </row>
    <row r="41" spans="2:29" x14ac:dyDescent="0.25">
      <c r="C41" s="617" t="s">
        <v>56</v>
      </c>
      <c r="AC41" s="383"/>
    </row>
    <row r="42" spans="2:29" x14ac:dyDescent="0.25">
      <c r="C42" s="617" t="s">
        <v>56</v>
      </c>
      <c r="AC42" s="383"/>
    </row>
    <row r="43" spans="2:29" x14ac:dyDescent="0.25">
      <c r="C43" s="617" t="s">
        <v>56</v>
      </c>
      <c r="AC43" s="383"/>
    </row>
    <row r="44" spans="2:29" x14ac:dyDescent="0.25">
      <c r="C44" s="617" t="s">
        <v>56</v>
      </c>
      <c r="AC44" s="383"/>
    </row>
    <row r="45" spans="2:29" x14ac:dyDescent="0.25">
      <c r="C45" s="617" t="s">
        <v>56</v>
      </c>
      <c r="AC45" s="383"/>
    </row>
    <row r="46" spans="2:29" x14ac:dyDescent="0.25">
      <c r="C46" s="617" t="s">
        <v>56</v>
      </c>
      <c r="AC46" s="383"/>
    </row>
    <row r="47" spans="2:29" x14ac:dyDescent="0.25">
      <c r="C47" s="617" t="s">
        <v>56</v>
      </c>
      <c r="AC47" s="383"/>
    </row>
    <row r="48" spans="2:29" x14ac:dyDescent="0.25">
      <c r="C48" s="617" t="s">
        <v>56</v>
      </c>
      <c r="AC48" s="383"/>
    </row>
    <row r="49" spans="3:32" x14ac:dyDescent="0.25">
      <c r="C49" s="617" t="s">
        <v>56</v>
      </c>
      <c r="AC49" s="383"/>
    </row>
    <row r="50" spans="3:32" x14ac:dyDescent="0.25">
      <c r="C50" s="617" t="s">
        <v>56</v>
      </c>
      <c r="AC50" s="383"/>
    </row>
    <row r="51" spans="3:32" s="219" customFormat="1" ht="27" customHeight="1" x14ac:dyDescent="0.25">
      <c r="D51" s="586" t="s">
        <v>35</v>
      </c>
      <c r="AC51" s="381"/>
      <c r="AF51" s="586" t="s">
        <v>215</v>
      </c>
    </row>
    <row r="52" spans="3:32" x14ac:dyDescent="0.25">
      <c r="C52" s="617" t="s">
        <v>56</v>
      </c>
      <c r="AC52" s="383"/>
    </row>
    <row r="53" spans="3:32" ht="20.25" x14ac:dyDescent="0.25">
      <c r="C53" s="617" t="s">
        <v>56</v>
      </c>
      <c r="D53" s="342"/>
      <c r="AC53" s="383"/>
      <c r="AF53" s="577"/>
    </row>
    <row r="54" spans="3:32" x14ac:dyDescent="0.25">
      <c r="C54" s="617" t="s">
        <v>56</v>
      </c>
      <c r="AC54" s="383"/>
    </row>
    <row r="55" spans="3:32" x14ac:dyDescent="0.25">
      <c r="C55" s="617" t="s">
        <v>56</v>
      </c>
      <c r="AC55" s="383"/>
    </row>
    <row r="56" spans="3:32" x14ac:dyDescent="0.25">
      <c r="C56" s="617" t="s">
        <v>56</v>
      </c>
      <c r="AC56" s="383"/>
    </row>
    <row r="57" spans="3:32" x14ac:dyDescent="0.25">
      <c r="C57" s="617" t="s">
        <v>56</v>
      </c>
      <c r="AC57" s="383"/>
    </row>
    <row r="58" spans="3:32" x14ac:dyDescent="0.25">
      <c r="C58" s="617" t="s">
        <v>56</v>
      </c>
      <c r="AC58" s="383"/>
    </row>
    <row r="59" spans="3:32" ht="15" customHeight="1" x14ac:dyDescent="0.25">
      <c r="C59" s="617" t="s">
        <v>56</v>
      </c>
      <c r="AC59" s="383"/>
    </row>
    <row r="60" spans="3:32" ht="15" customHeight="1" x14ac:dyDescent="0.25">
      <c r="C60" s="617" t="s">
        <v>56</v>
      </c>
      <c r="AC60" s="383"/>
    </row>
    <row r="61" spans="3:32" ht="15" customHeight="1" x14ac:dyDescent="0.25">
      <c r="C61" s="617" t="s">
        <v>56</v>
      </c>
      <c r="AC61" s="383"/>
    </row>
    <row r="62" spans="3:32" x14ac:dyDescent="0.25">
      <c r="C62" s="617" t="s">
        <v>56</v>
      </c>
      <c r="AC62" s="383"/>
    </row>
    <row r="63" spans="3:32" x14ac:dyDescent="0.25">
      <c r="C63" s="617" t="s">
        <v>56</v>
      </c>
      <c r="AC63" s="383"/>
    </row>
    <row r="64" spans="3:32" x14ac:dyDescent="0.25">
      <c r="C64" s="617" t="s">
        <v>56</v>
      </c>
      <c r="AC64" s="383"/>
    </row>
    <row r="65" spans="3:32" x14ac:dyDescent="0.25">
      <c r="C65" s="617" t="s">
        <v>56</v>
      </c>
      <c r="AC65" s="383"/>
    </row>
    <row r="66" spans="3:32" x14ac:dyDescent="0.25">
      <c r="C66" s="617" t="s">
        <v>56</v>
      </c>
      <c r="AC66" s="383"/>
    </row>
    <row r="67" spans="3:32" x14ac:dyDescent="0.25">
      <c r="C67" s="617" t="s">
        <v>56</v>
      </c>
      <c r="AC67" s="383"/>
    </row>
    <row r="68" spans="3:32" x14ac:dyDescent="0.25">
      <c r="C68" s="617" t="s">
        <v>56</v>
      </c>
      <c r="AC68" s="383"/>
    </row>
    <row r="69" spans="3:32" x14ac:dyDescent="0.25">
      <c r="C69" s="617" t="s">
        <v>56</v>
      </c>
      <c r="AC69" s="383"/>
    </row>
    <row r="70" spans="3:32" x14ac:dyDescent="0.25">
      <c r="C70" s="617" t="s">
        <v>56</v>
      </c>
      <c r="AC70" s="383"/>
    </row>
    <row r="71" spans="3:32" x14ac:dyDescent="0.25">
      <c r="C71" s="617" t="s">
        <v>56</v>
      </c>
      <c r="AC71" s="383"/>
    </row>
    <row r="72" spans="3:32" x14ac:dyDescent="0.25">
      <c r="C72" s="617" t="s">
        <v>56</v>
      </c>
      <c r="AC72" s="383"/>
    </row>
    <row r="73" spans="3:32" x14ac:dyDescent="0.25">
      <c r="C73" s="617" t="s">
        <v>56</v>
      </c>
      <c r="AC73" s="383"/>
    </row>
    <row r="74" spans="3:32" x14ac:dyDescent="0.25">
      <c r="C74" s="617" t="s">
        <v>56</v>
      </c>
      <c r="AC74" s="383"/>
    </row>
    <row r="75" spans="3:32" x14ac:dyDescent="0.25">
      <c r="C75" s="617" t="s">
        <v>56</v>
      </c>
      <c r="AC75" s="383"/>
    </row>
    <row r="76" spans="3:32" x14ac:dyDescent="0.25">
      <c r="C76" s="617" t="s">
        <v>56</v>
      </c>
      <c r="AC76" s="383"/>
    </row>
    <row r="77" spans="3:32" x14ac:dyDescent="0.25">
      <c r="C77" s="617" t="s">
        <v>56</v>
      </c>
      <c r="AC77" s="383"/>
    </row>
    <row r="78" spans="3:32" x14ac:dyDescent="0.25">
      <c r="C78" s="617" t="s">
        <v>56</v>
      </c>
      <c r="AC78" s="383"/>
    </row>
    <row r="79" spans="3:32" ht="20.25" x14ac:dyDescent="0.25">
      <c r="C79" s="617" t="s">
        <v>56</v>
      </c>
      <c r="D79" s="342"/>
      <c r="AC79" s="383"/>
      <c r="AF79" s="342"/>
    </row>
    <row r="80" spans="3:32" x14ac:dyDescent="0.25">
      <c r="C80" s="617" t="s">
        <v>56</v>
      </c>
      <c r="AC80" s="383"/>
    </row>
    <row r="81" spans="2:29" x14ac:dyDescent="0.25">
      <c r="B81" s="593"/>
      <c r="C81" s="617" t="s">
        <v>56</v>
      </c>
      <c r="AC81" s="383"/>
    </row>
    <row r="82" spans="2:29" ht="15" customHeight="1" x14ac:dyDescent="0.25">
      <c r="B82" s="585"/>
      <c r="C82" s="617" t="s">
        <v>56</v>
      </c>
      <c r="AC82" s="383"/>
    </row>
    <row r="83" spans="2:29" ht="15" customHeight="1" x14ac:dyDescent="0.25">
      <c r="B83" s="585"/>
      <c r="C83" s="617" t="s">
        <v>56</v>
      </c>
      <c r="AC83" s="383"/>
    </row>
    <row r="84" spans="2:29" ht="15" customHeight="1" x14ac:dyDescent="0.25">
      <c r="B84" s="585"/>
      <c r="C84" s="617" t="s">
        <v>56</v>
      </c>
      <c r="AC84" s="383"/>
    </row>
    <row r="85" spans="2:29" x14ac:dyDescent="0.25">
      <c r="C85" s="617" t="s">
        <v>56</v>
      </c>
      <c r="AC85" s="383"/>
    </row>
    <row r="86" spans="2:29" x14ac:dyDescent="0.25">
      <c r="C86" s="617" t="s">
        <v>56</v>
      </c>
      <c r="AC86" s="383"/>
    </row>
    <row r="87" spans="2:29" x14ac:dyDescent="0.25">
      <c r="C87" s="617" t="s">
        <v>56</v>
      </c>
      <c r="AC87" s="383"/>
    </row>
    <row r="88" spans="2:29" x14ac:dyDescent="0.25">
      <c r="C88" s="617" t="s">
        <v>56</v>
      </c>
      <c r="AC88" s="383"/>
    </row>
    <row r="89" spans="2:29" x14ac:dyDescent="0.25">
      <c r="C89" s="617" t="s">
        <v>56</v>
      </c>
      <c r="AC89" s="383"/>
    </row>
    <row r="90" spans="2:29" x14ac:dyDescent="0.25">
      <c r="C90" s="617" t="s">
        <v>56</v>
      </c>
      <c r="AC90" s="383"/>
    </row>
    <row r="91" spans="2:29" x14ac:dyDescent="0.25">
      <c r="C91" s="617" t="s">
        <v>56</v>
      </c>
      <c r="AC91" s="383"/>
    </row>
    <row r="92" spans="2:29" x14ac:dyDescent="0.25">
      <c r="C92" s="617" t="s">
        <v>56</v>
      </c>
      <c r="AC92" s="383"/>
    </row>
    <row r="93" spans="2:29" x14ac:dyDescent="0.25">
      <c r="C93" s="617" t="s">
        <v>56</v>
      </c>
      <c r="AC93" s="383"/>
    </row>
    <row r="94" spans="2:29" x14ac:dyDescent="0.25">
      <c r="C94" s="617" t="s">
        <v>56</v>
      </c>
      <c r="AC94" s="383"/>
    </row>
    <row r="95" spans="2:29" x14ac:dyDescent="0.25">
      <c r="C95" s="617" t="s">
        <v>56</v>
      </c>
      <c r="AC95" s="383"/>
    </row>
    <row r="96" spans="2:29" x14ac:dyDescent="0.25">
      <c r="C96" s="617" t="s">
        <v>56</v>
      </c>
      <c r="AC96" s="383"/>
    </row>
    <row r="97" spans="1:47" x14ac:dyDescent="0.25">
      <c r="C97" s="617" t="s">
        <v>56</v>
      </c>
      <c r="AC97" s="383"/>
    </row>
    <row r="98" spans="1:47" x14ac:dyDescent="0.25">
      <c r="C98" s="617" t="s">
        <v>56</v>
      </c>
      <c r="AC98" s="383"/>
    </row>
    <row r="99" spans="1:47" x14ac:dyDescent="0.25">
      <c r="C99" s="617" t="s">
        <v>56</v>
      </c>
      <c r="AC99" s="383"/>
    </row>
    <row r="100" spans="1:47" x14ac:dyDescent="0.25">
      <c r="C100" s="617" t="s">
        <v>56</v>
      </c>
      <c r="AC100" s="383"/>
    </row>
    <row r="101" spans="1:47" x14ac:dyDescent="0.25">
      <c r="C101" s="617" t="s">
        <v>56</v>
      </c>
      <c r="AC101" s="383"/>
    </row>
    <row r="102" spans="1:47" x14ac:dyDescent="0.25">
      <c r="C102" s="617" t="s">
        <v>56</v>
      </c>
      <c r="AC102" s="383"/>
    </row>
    <row r="103" spans="1:47" x14ac:dyDescent="0.25">
      <c r="A103" s="1"/>
      <c r="B103" s="1"/>
      <c r="C103" s="617" t="s">
        <v>56</v>
      </c>
      <c r="AC103" s="383"/>
    </row>
    <row r="104" spans="1:47" s="354" customFormat="1" ht="45.75" customHeight="1" x14ac:dyDescent="0.45">
      <c r="A104" s="373"/>
      <c r="B104" s="373"/>
      <c r="C104" s="373"/>
      <c r="D104" s="354" t="s">
        <v>133</v>
      </c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422"/>
      <c r="AD104" s="373"/>
      <c r="AE104" s="373"/>
      <c r="AF104" s="354" t="s">
        <v>230</v>
      </c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R104" s="355"/>
      <c r="AS104" s="355"/>
      <c r="AT104" s="355"/>
      <c r="AU104" s="355"/>
    </row>
    <row r="105" spans="1:47" s="356" customFormat="1" ht="37.5" customHeight="1" x14ac:dyDescent="0.25">
      <c r="A105" s="375"/>
      <c r="B105" s="375"/>
      <c r="C105" s="375"/>
      <c r="D105" s="374" t="s">
        <v>130</v>
      </c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423"/>
      <c r="AD105" s="375"/>
      <c r="AE105" s="375"/>
      <c r="AF105" s="440" t="s">
        <v>233</v>
      </c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R105" s="357"/>
      <c r="AS105" s="357"/>
      <c r="AT105" s="357"/>
      <c r="AU105" s="357"/>
    </row>
    <row r="106" spans="1:47" s="1" customFormat="1" ht="13.5" customHeight="1" x14ac:dyDescent="0.25">
      <c r="A106" s="259"/>
      <c r="B106" s="5"/>
      <c r="C106" s="617" t="s">
        <v>56</v>
      </c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3"/>
      <c r="AA106" s="14"/>
      <c r="AB106" s="14"/>
      <c r="AC106" s="380"/>
      <c r="AD106" s="14"/>
      <c r="AE106" s="14"/>
      <c r="AF106" s="14"/>
      <c r="AG106" s="14"/>
      <c r="AH106" s="14"/>
      <c r="AI106" s="14"/>
      <c r="AJ106" s="15"/>
    </row>
    <row r="107" spans="1:47" s="1" customFormat="1" ht="33" customHeight="1" x14ac:dyDescent="0.25">
      <c r="A107" s="259"/>
      <c r="B107" s="5"/>
      <c r="C107" s="617" t="s">
        <v>56</v>
      </c>
      <c r="D107" s="809" t="str">
        <f>"Losun árið "&amp;$B$2&amp;", án losunar frá landnotkun (LULUCF), í samanburði við losun fyrri ára"</f>
        <v>Losun árið 2023, án losunar frá landnotkun (LULUCF), í samanburði við losun fyrri ára</v>
      </c>
      <c r="E107" s="809"/>
      <c r="F107" s="809"/>
      <c r="G107" s="809"/>
      <c r="H107" s="809"/>
      <c r="I107" s="809"/>
      <c r="J107" s="809"/>
      <c r="K107" s="809"/>
      <c r="L107" s="809"/>
      <c r="M107" s="809"/>
      <c r="N107" s="809"/>
      <c r="O107" s="809"/>
      <c r="P107" s="809"/>
      <c r="Q107" s="13"/>
      <c r="R107" s="13"/>
      <c r="S107" s="13"/>
      <c r="T107" s="14"/>
      <c r="U107" s="14"/>
      <c r="V107" s="14"/>
      <c r="W107" s="14"/>
      <c r="X107" s="14"/>
      <c r="Y107" s="14"/>
      <c r="Z107" s="14"/>
      <c r="AA107" s="14"/>
      <c r="AB107" s="14"/>
      <c r="AC107" s="437"/>
      <c r="AF107" s="809" t="str">
        <f>"Emissions in "&amp;$B$2&amp;" excluding emissions from LULUCF, compared to emissions in previous years"</f>
        <v>Emissions in 2023 excluding emissions from LULUCF, compared to emissions in previous years</v>
      </c>
      <c r="AG107" s="809"/>
      <c r="AH107" s="809"/>
      <c r="AI107" s="809"/>
      <c r="AJ107" s="809"/>
      <c r="AK107" s="809"/>
      <c r="AL107" s="809"/>
      <c r="AM107" s="809"/>
      <c r="AN107" s="809"/>
      <c r="AO107" s="809"/>
      <c r="AP107" s="809"/>
      <c r="AQ107" s="809"/>
      <c r="AR107" s="809"/>
    </row>
    <row r="108" spans="1:47" s="1" customFormat="1" ht="28.5" customHeight="1" x14ac:dyDescent="0.25">
      <c r="A108" s="259"/>
      <c r="B108" s="5"/>
      <c r="C108" s="617" t="s">
        <v>56</v>
      </c>
      <c r="D108" s="807"/>
      <c r="E108" s="707" t="str">
        <f>"Losun "&amp;$B$2</f>
        <v>Losun 2023</v>
      </c>
      <c r="F108" s="709"/>
      <c r="G108" s="708"/>
      <c r="H108" s="709" t="str">
        <f>"Breyting frá "&amp;$B$3</f>
        <v>Breyting frá 2022</v>
      </c>
      <c r="I108" s="709"/>
      <c r="J108" s="708"/>
      <c r="K108" s="815" t="str">
        <f>"Breyting frá "&amp;$B$4</f>
        <v>Breyting frá 2005</v>
      </c>
      <c r="L108" s="709"/>
      <c r="M108" s="708"/>
      <c r="N108" s="707" t="str">
        <f>"Breyting frá "&amp;$B$5</f>
        <v>Breyting frá 1990</v>
      </c>
      <c r="O108" s="709"/>
      <c r="P108" s="709"/>
      <c r="Q108" s="13"/>
      <c r="R108" s="13"/>
      <c r="S108" s="13"/>
      <c r="T108" s="3"/>
      <c r="U108" s="3"/>
      <c r="V108" s="706"/>
      <c r="W108" s="706"/>
      <c r="X108" s="706"/>
      <c r="Y108" s="14"/>
      <c r="Z108" s="14"/>
      <c r="AA108" s="14"/>
      <c r="AB108" s="14"/>
      <c r="AC108" s="437"/>
      <c r="AF108" s="807"/>
      <c r="AG108" s="698" t="str">
        <f>"Emissions in "&amp;$B$2</f>
        <v>Emissions in 2023</v>
      </c>
      <c r="AH108" s="700"/>
      <c r="AI108" s="699"/>
      <c r="AJ108" s="698" t="str">
        <f>"Change from "&amp;$B$3</f>
        <v>Change from 2022</v>
      </c>
      <c r="AK108" s="700"/>
      <c r="AL108" s="699"/>
      <c r="AM108" s="698" t="str">
        <f>"Change from "&amp;$B$4</f>
        <v>Change from 2005</v>
      </c>
      <c r="AN108" s="700"/>
      <c r="AO108" s="699"/>
      <c r="AP108" s="698" t="str">
        <f>"Change from "&amp;$B$5</f>
        <v>Change from 1990</v>
      </c>
      <c r="AQ108" s="700"/>
      <c r="AR108" s="700"/>
    </row>
    <row r="109" spans="1:47" s="1" customFormat="1" ht="21" customHeight="1" x14ac:dyDescent="0.25">
      <c r="A109" s="259"/>
      <c r="B109" s="5"/>
      <c r="C109" s="617" t="s">
        <v>56</v>
      </c>
      <c r="D109" s="807"/>
      <c r="E109" s="816" t="s">
        <v>5</v>
      </c>
      <c r="F109" s="817"/>
      <c r="G109" s="88" t="s">
        <v>4</v>
      </c>
      <c r="H109" s="816" t="s">
        <v>5</v>
      </c>
      <c r="I109" s="817"/>
      <c r="J109" s="88" t="s">
        <v>4</v>
      </c>
      <c r="K109" s="816" t="s">
        <v>5</v>
      </c>
      <c r="L109" s="817"/>
      <c r="M109" s="88" t="s">
        <v>4</v>
      </c>
      <c r="N109" s="816" t="s">
        <v>5</v>
      </c>
      <c r="O109" s="817"/>
      <c r="P109" s="55" t="s">
        <v>4</v>
      </c>
      <c r="S109" s="13"/>
      <c r="T109" s="63"/>
      <c r="U109" s="63"/>
      <c r="V109" s="685"/>
      <c r="W109" s="685"/>
      <c r="X109" s="63"/>
      <c r="Y109" s="14"/>
      <c r="Z109" s="14"/>
      <c r="AA109" s="14"/>
      <c r="AB109" s="14"/>
      <c r="AC109" s="437"/>
      <c r="AF109" s="807"/>
      <c r="AG109" s="808" t="s">
        <v>204</v>
      </c>
      <c r="AH109" s="808"/>
      <c r="AI109" s="606" t="s">
        <v>4</v>
      </c>
      <c r="AJ109" s="808" t="s">
        <v>204</v>
      </c>
      <c r="AK109" s="808"/>
      <c r="AL109" s="606" t="s">
        <v>4</v>
      </c>
      <c r="AM109" s="808" t="s">
        <v>204</v>
      </c>
      <c r="AN109" s="808"/>
      <c r="AO109" s="606" t="s">
        <v>4</v>
      </c>
      <c r="AP109" s="808" t="s">
        <v>204</v>
      </c>
      <c r="AQ109" s="808"/>
      <c r="AR109" s="605" t="s">
        <v>4</v>
      </c>
    </row>
    <row r="110" spans="1:47" s="1" customFormat="1" ht="21" customHeight="1" x14ac:dyDescent="0.25">
      <c r="A110" s="258" t="s">
        <v>58</v>
      </c>
      <c r="B110" s="5"/>
      <c r="C110" s="617" t="s">
        <v>56</v>
      </c>
      <c r="D110" s="81" t="str">
        <f>'Talnagögn | Numerical Data'!$D$14</f>
        <v>Fiskiskip</v>
      </c>
      <c r="E110" s="733" cm="1">
        <f t="array" ref="E110">INDEX('Talnagögn | Numerical Data'!$1:$1048576, _xlfn.XMATCH($A110,'Talnagögn | Numerical Data'!$A:$A), _xlfn.XMATCH($B$2,'Talnagögn | Numerical Data'!$13:$13))</f>
        <v>485.3352147538011</v>
      </c>
      <c r="F110" s="728"/>
      <c r="G110" s="76">
        <f>E110/$E$118</f>
        <v>0.10442793439181917</v>
      </c>
      <c r="H110" s="794" cm="1">
        <f t="array" ref="H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_xlfn.XMATCH($B$3,'Talnagögn | Numerical Data'!$13:$13))</f>
        <v>4.8347753176444712</v>
      </c>
      <c r="I110" s="795"/>
      <c r="J110" s="604" cm="1">
        <f t="array" ref="J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_xlfn.XMATCH($B$3,'Talnagögn | Numerical Data'!$13:$13))-1</f>
        <v>1.0061958160366702E-2</v>
      </c>
      <c r="K110" s="796" cm="1">
        <f t="array" ref="K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_xlfn.XMATCH($B$4,'Talnagögn | Numerical Data'!$13:$13))</f>
        <v>-256.94058220377826</v>
      </c>
      <c r="L110" s="797"/>
      <c r="M110" s="143" cm="1">
        <f t="array" ref="M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_xlfn.XMATCH($B$4,'Talnagögn | Numerical Data'!$13:$13))-1</f>
        <v>-0.34615244529987321</v>
      </c>
      <c r="N110" s="733" cm="1">
        <f t="array" ref="N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_xlfn.XMATCH($B$5,'Talnagögn | Numerical Data'!$13:$13))</f>
        <v>-275.10222240317694</v>
      </c>
      <c r="O110" s="728"/>
      <c r="P110" s="130" cm="1">
        <f t="array" ref="P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_xlfn.XMATCH($B$5,'Talnagögn | Numerical Data'!$13:$13))-1</f>
        <v>-0.36176838351316898</v>
      </c>
      <c r="S110" s="13"/>
      <c r="T110" s="141"/>
      <c r="U110" s="126"/>
      <c r="V110" s="142"/>
      <c r="W110" s="142"/>
      <c r="X110" s="72"/>
      <c r="Y110" s="14"/>
      <c r="Z110" s="14"/>
      <c r="AA110" s="14"/>
      <c r="AB110" s="14"/>
      <c r="AC110" s="437"/>
      <c r="AF110" s="376" t="str">
        <f>'Talnagögn | Numerical Data'!$E$14</f>
        <v>Fishing</v>
      </c>
      <c r="AG110" s="733" cm="1">
        <f t="array" ref="AG110">INDEX('Talnagögn | Numerical Data'!$1:$1048576, _xlfn.XMATCH($A110,'Talnagögn | Numerical Data'!$A:$A), _xlfn.XMATCH($B$2,'Talnagögn | Numerical Data'!$13:$13))</f>
        <v>485.3352147538011</v>
      </c>
      <c r="AH110" s="728"/>
      <c r="AI110" s="76">
        <f>AG110/$E$118</f>
        <v>0.10442793439181917</v>
      </c>
      <c r="AJ110" s="794" cm="1">
        <f t="array" ref="AJ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_xlfn.XMATCH($B$3,'Talnagögn | Numerical Data'!$13:$13))</f>
        <v>4.8347753176444712</v>
      </c>
      <c r="AK110" s="795"/>
      <c r="AL110" s="604" cm="1">
        <f t="array" ref="AL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_xlfn.XMATCH($B$3,'Talnagögn | Numerical Data'!$13:$13))-1</f>
        <v>1.0061958160366702E-2</v>
      </c>
      <c r="AM110" s="796" cm="1">
        <f t="array" ref="AM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_xlfn.XMATCH($B$4,'Talnagögn | Numerical Data'!$13:$13))</f>
        <v>-256.94058220377826</v>
      </c>
      <c r="AN110" s="797"/>
      <c r="AO110" s="143" cm="1">
        <f t="array" ref="AO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_xlfn.XMATCH($B$4,'Talnagögn | Numerical Data'!$13:$13))-1</f>
        <v>-0.34615244529987321</v>
      </c>
      <c r="AP110" s="733" cm="1">
        <f t="array" ref="AP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_xlfn.XMATCH($B$5,'Talnagögn | Numerical Data'!$13:$13))</f>
        <v>-275.10222240317694</v>
      </c>
      <c r="AQ110" s="728"/>
      <c r="AR110" s="130" cm="1">
        <f t="array" ref="AR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_xlfn.XMATCH($B$5,'Talnagögn | Numerical Data'!$13:$13))-1</f>
        <v>-0.36176838351316898</v>
      </c>
    </row>
    <row r="111" spans="1:47" s="1" customFormat="1" ht="21" customHeight="1" x14ac:dyDescent="0.25">
      <c r="A111" s="258" t="s">
        <v>59</v>
      </c>
      <c r="B111" s="5"/>
      <c r="C111" s="617" t="s">
        <v>56</v>
      </c>
      <c r="D111" s="81" t="str">
        <f>'Talnagögn | Numerical Data'!$D$15</f>
        <v>Vegasamgöngur</v>
      </c>
      <c r="E111" s="733" cm="1">
        <f t="array" ref="E111">INDEX('Talnagögn | Numerical Data'!$1:$1048576, _xlfn.XMATCH($A111,'Talnagögn | Numerical Data'!$A:$A), _xlfn.XMATCH($B$2,'Talnagögn | Numerical Data'!$13:$13))</f>
        <v>921.28481276391403</v>
      </c>
      <c r="F111" s="728"/>
      <c r="G111" s="76">
        <f t="shared" ref="G111:G118" si="4">E111/$E$118</f>
        <v>0.19822973289150958</v>
      </c>
      <c r="H111" s="806" cm="1">
        <f t="array" ref="H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_xlfn.XMATCH($B$3,'Talnagögn | Numerical Data'!$13:$13))</f>
        <v>-4.7274330148738954</v>
      </c>
      <c r="I111" s="677"/>
      <c r="J111" s="127" cm="1">
        <f t="array" ref="J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_xlfn.XMATCH($B$3,'Talnagögn | Numerical Data'!$13:$13))-1</f>
        <v>-5.1051517260423118E-3</v>
      </c>
      <c r="K111" s="796" cm="1">
        <f t="array" ref="K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_xlfn.XMATCH($B$4,'Talnagögn | Numerical Data'!$13:$13))</f>
        <v>146.297636004982</v>
      </c>
      <c r="L111" s="797"/>
      <c r="M111" s="143" cm="1">
        <f t="array" ref="M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_xlfn.XMATCH($B$4,'Talnagögn | Numerical Data'!$13:$13))-1</f>
        <v>0.18877426671343422</v>
      </c>
      <c r="N111" s="733" cm="1">
        <f t="array" ref="N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_xlfn.XMATCH($B$5,'Talnagögn | Numerical Data'!$13:$13))</f>
        <v>390.58388962762433</v>
      </c>
      <c r="O111" s="728"/>
      <c r="P111" s="131" cm="1">
        <f t="array" ref="P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_xlfn.XMATCH($B$5,'Talnagögn | Numerical Data'!$13:$13))-1</f>
        <v>0.73597740761290931</v>
      </c>
      <c r="S111" s="13"/>
      <c r="T111" s="141"/>
      <c r="U111" s="126"/>
      <c r="V111" s="142"/>
      <c r="W111" s="142"/>
      <c r="X111" s="61"/>
      <c r="Y111" s="14"/>
      <c r="Z111" s="14"/>
      <c r="AA111" s="14"/>
      <c r="AB111" s="14"/>
      <c r="AC111" s="437"/>
      <c r="AF111" s="376" t="str">
        <f>'Talnagögn | Numerical Data'!$E$15</f>
        <v>Road Transport</v>
      </c>
      <c r="AG111" s="733" cm="1">
        <f t="array" ref="AG111">INDEX('Talnagögn | Numerical Data'!$1:$1048576, _xlfn.XMATCH($A111,'Talnagögn | Numerical Data'!$A:$A), _xlfn.XMATCH($B$2,'Talnagögn | Numerical Data'!$13:$13))</f>
        <v>921.28481276391403</v>
      </c>
      <c r="AH111" s="728"/>
      <c r="AI111" s="76">
        <f t="shared" ref="AI111:AI118" si="5">AG111/$E$118</f>
        <v>0.19822973289150958</v>
      </c>
      <c r="AJ111" s="806" cm="1">
        <f t="array" ref="AJ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_xlfn.XMATCH($B$3,'Talnagögn | Numerical Data'!$13:$13))</f>
        <v>-4.7274330148738954</v>
      </c>
      <c r="AK111" s="677"/>
      <c r="AL111" s="127" cm="1">
        <f t="array" ref="AL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_xlfn.XMATCH($B$3,'Talnagögn | Numerical Data'!$13:$13))-1</f>
        <v>-5.1051517260423118E-3</v>
      </c>
      <c r="AM111" s="796" cm="1">
        <f t="array" ref="AM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_xlfn.XMATCH($B$4,'Talnagögn | Numerical Data'!$13:$13))</f>
        <v>146.297636004982</v>
      </c>
      <c r="AN111" s="797"/>
      <c r="AO111" s="143" cm="1">
        <f t="array" ref="AO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_xlfn.XMATCH($B$4,'Talnagögn | Numerical Data'!$13:$13))-1</f>
        <v>0.18877426671343422</v>
      </c>
      <c r="AP111" s="733" cm="1">
        <f t="array" ref="AP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_xlfn.XMATCH($B$5,'Talnagögn | Numerical Data'!$13:$13))</f>
        <v>390.58388962762433</v>
      </c>
      <c r="AQ111" s="728"/>
      <c r="AR111" s="131" cm="1">
        <f t="array" ref="AR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_xlfn.XMATCH($B$5,'Talnagögn | Numerical Data'!$13:$13))-1</f>
        <v>0.73597740761290931</v>
      </c>
    </row>
    <row r="112" spans="1:47" s="1" customFormat="1" ht="21" customHeight="1" x14ac:dyDescent="0.25">
      <c r="A112" s="258" t="s">
        <v>63</v>
      </c>
      <c r="B112" s="5"/>
      <c r="C112" s="617" t="s">
        <v>56</v>
      </c>
      <c r="D112" s="81" t="str">
        <f>'Talnagögn | Numerical Data'!$D$16</f>
        <v>Jarðvarmavirkjanir</v>
      </c>
      <c r="E112" s="733" cm="1">
        <f t="array" ref="E112">INDEX('Talnagögn | Numerical Data'!$1:$1048576, _xlfn.XMATCH($A112,'Talnagögn | Numerical Data'!$A:$A), _xlfn.XMATCH($B$2,'Talnagögn | Numerical Data'!$13:$13))</f>
        <v>176.69460000000001</v>
      </c>
      <c r="F112" s="728"/>
      <c r="G112" s="98">
        <f t="shared" si="4"/>
        <v>3.8018778640550352E-2</v>
      </c>
      <c r="H112" s="806" cm="1">
        <f t="array" ref="H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_xlfn.XMATCH($B$3,'Talnagögn | Numerical Data'!$13:$13))</f>
        <v>-1.4491846135524611</v>
      </c>
      <c r="I112" s="677"/>
      <c r="J112" s="127" cm="1">
        <f t="array" ref="J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_xlfn.XMATCH($B$3,'Talnagögn | Numerical Data'!$13:$13))-1</f>
        <v>-8.1349153813936592E-3</v>
      </c>
      <c r="K112" s="796" cm="1">
        <f t="array" ref="K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_xlfn.XMATCH($B$4,'Talnagögn | Numerical Data'!$13:$13))</f>
        <v>57.257206693838583</v>
      </c>
      <c r="L112" s="797"/>
      <c r="M112" s="143" cm="1">
        <f t="array" ref="M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_xlfn.XMATCH($B$4,'Talnagögn | Numerical Data'!$13:$13))-1</f>
        <v>0.47939096047640262</v>
      </c>
      <c r="N112" s="733" cm="1">
        <f t="array" ref="N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_xlfn.XMATCH($B$5,'Talnagögn | Numerical Data'!$13:$13))</f>
        <v>115.12026564245417</v>
      </c>
      <c r="O112" s="728"/>
      <c r="P112" s="130" cm="1">
        <f t="array" ref="P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_xlfn.XMATCH($B$5,'Talnagögn | Numerical Data'!$13:$13))-1</f>
        <v>1.8696144561463108</v>
      </c>
      <c r="S112" s="13"/>
      <c r="T112" s="141"/>
      <c r="U112" s="140"/>
      <c r="V112" s="142"/>
      <c r="W112" s="91"/>
      <c r="X112" s="61"/>
      <c r="Y112" s="14"/>
      <c r="Z112" s="14"/>
      <c r="AA112" s="14"/>
      <c r="AB112" s="14"/>
      <c r="AC112" s="437"/>
      <c r="AF112" s="376" t="str">
        <f>'Talnagögn | Numerical Data'!$E$16</f>
        <v>Geothermal Energy</v>
      </c>
      <c r="AG112" s="733" cm="1">
        <f t="array" ref="AG112">INDEX('Talnagögn | Numerical Data'!$1:$1048576, _xlfn.XMATCH($A112,'Talnagögn | Numerical Data'!$A:$A), _xlfn.XMATCH($B$2,'Talnagögn | Numerical Data'!$13:$13))</f>
        <v>176.69460000000001</v>
      </c>
      <c r="AH112" s="728"/>
      <c r="AI112" s="98">
        <f t="shared" si="5"/>
        <v>3.8018778640550352E-2</v>
      </c>
      <c r="AJ112" s="806" cm="1">
        <f t="array" ref="AJ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_xlfn.XMATCH($B$3,'Talnagögn | Numerical Data'!$13:$13))</f>
        <v>-1.4491846135524611</v>
      </c>
      <c r="AK112" s="677"/>
      <c r="AL112" s="127" cm="1">
        <f t="array" ref="AL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_xlfn.XMATCH($B$3,'Talnagögn | Numerical Data'!$13:$13))-1</f>
        <v>-8.1349153813936592E-3</v>
      </c>
      <c r="AM112" s="796" cm="1">
        <f t="array" ref="AM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_xlfn.XMATCH($B$4,'Talnagögn | Numerical Data'!$13:$13))</f>
        <v>57.257206693838583</v>
      </c>
      <c r="AN112" s="797"/>
      <c r="AO112" s="143" cm="1">
        <f t="array" ref="AO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_xlfn.XMATCH($B$4,'Talnagögn | Numerical Data'!$13:$13))-1</f>
        <v>0.47939096047640262</v>
      </c>
      <c r="AP112" s="733" cm="1">
        <f t="array" ref="AP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_xlfn.XMATCH($B$5,'Talnagögn | Numerical Data'!$13:$13))</f>
        <v>115.12026564245417</v>
      </c>
      <c r="AQ112" s="728"/>
      <c r="AR112" s="130" cm="1">
        <f t="array" ref="AR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_xlfn.XMATCH($B$5,'Talnagögn | Numerical Data'!$13:$13))-1</f>
        <v>1.8696144561463108</v>
      </c>
    </row>
    <row r="113" spans="1:44" s="1" customFormat="1" ht="21" customHeight="1" x14ac:dyDescent="0.25">
      <c r="A113" s="258" t="s">
        <v>66</v>
      </c>
      <c r="B113" s="5"/>
      <c r="C113" s="617" t="s">
        <v>56</v>
      </c>
      <c r="D113" s="81" t="str">
        <f>'Talnagögn | Numerical Data'!$D$17</f>
        <v>Álframleiðsla</v>
      </c>
      <c r="E113" s="733" cm="1">
        <f t="array" ref="E113">INDEX('Talnagögn | Numerical Data'!$1:$1048576, _xlfn.XMATCH($A113,'Talnagögn | Numerical Data'!$A:$A), _xlfn.XMATCH($B$2,'Talnagögn | Numerical Data'!$13:$13))</f>
        <v>1402.6496416686878</v>
      </c>
      <c r="F113" s="728"/>
      <c r="G113" s="76">
        <f t="shared" si="4"/>
        <v>0.30180337280736996</v>
      </c>
      <c r="H113" s="733" cm="1">
        <f t="array" ref="H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_xlfn.XMATCH($B$3,'Talnagögn | Numerical Data'!$13:$13))</f>
        <v>48.448911328022859</v>
      </c>
      <c r="I113" s="728"/>
      <c r="J113" s="119" cm="1">
        <f t="array" ref="J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_xlfn.XMATCH($B$3,'Talnagögn | Numerical Data'!$13:$13))-1</f>
        <v>3.5776757642004053E-2</v>
      </c>
      <c r="K113" s="796" cm="1">
        <f t="array" ref="K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_xlfn.XMATCH($B$4,'Talnagögn | Numerical Data'!$13:$13))</f>
        <v>957.84112550160057</v>
      </c>
      <c r="L113" s="797"/>
      <c r="M113" s="143" cm="1">
        <f t="array" ref="M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_xlfn.XMATCH($B$4,'Talnagögn | Numerical Data'!$13:$13))-1</f>
        <v>2.1533785678280468</v>
      </c>
      <c r="N113" s="733" cm="1">
        <f t="array" ref="N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_xlfn.XMATCH($B$5,'Talnagögn | Numerical Data'!$13:$13))</f>
        <v>818.62316889788178</v>
      </c>
      <c r="O113" s="728"/>
      <c r="P113" s="130" cm="1">
        <f t="array" ref="P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_xlfn.XMATCH($B$5,'Talnagögn | Numerical Data'!$13:$13))-1</f>
        <v>1.4016884628775044</v>
      </c>
      <c r="S113" s="13"/>
      <c r="T113" s="141"/>
      <c r="U113" s="126"/>
      <c r="V113" s="142"/>
      <c r="W113" s="91"/>
      <c r="X113" s="61"/>
      <c r="Y113" s="14"/>
      <c r="Z113" s="14"/>
      <c r="AA113" s="14"/>
      <c r="AB113" s="14"/>
      <c r="AC113" s="437"/>
      <c r="AF113" s="376" t="str">
        <f>'Talnagögn | Numerical Data'!$E$17</f>
        <v>Aluminium Production</v>
      </c>
      <c r="AG113" s="733" cm="1">
        <f t="array" ref="AG113">INDEX('Talnagögn | Numerical Data'!$1:$1048576, _xlfn.XMATCH($A113,'Talnagögn | Numerical Data'!$A:$A), _xlfn.XMATCH($B$2,'Talnagögn | Numerical Data'!$13:$13))</f>
        <v>1402.6496416686878</v>
      </c>
      <c r="AH113" s="728"/>
      <c r="AI113" s="76">
        <f t="shared" si="5"/>
        <v>0.30180337280736996</v>
      </c>
      <c r="AJ113" s="733" cm="1">
        <f t="array" ref="AJ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_xlfn.XMATCH($B$3,'Talnagögn | Numerical Data'!$13:$13))</f>
        <v>48.448911328022859</v>
      </c>
      <c r="AK113" s="728"/>
      <c r="AL113" s="119" cm="1">
        <f t="array" ref="AL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_xlfn.XMATCH($B$3,'Talnagögn | Numerical Data'!$13:$13))-1</f>
        <v>3.5776757642004053E-2</v>
      </c>
      <c r="AM113" s="796" cm="1">
        <f t="array" ref="AM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_xlfn.XMATCH($B$4,'Talnagögn | Numerical Data'!$13:$13))</f>
        <v>957.84112550160057</v>
      </c>
      <c r="AN113" s="797"/>
      <c r="AO113" s="143" cm="1">
        <f t="array" ref="AO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_xlfn.XMATCH($B$4,'Talnagögn | Numerical Data'!$13:$13))-1</f>
        <v>2.1533785678280468</v>
      </c>
      <c r="AP113" s="733" cm="1">
        <f t="array" ref="AP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_xlfn.XMATCH($B$5,'Talnagögn | Numerical Data'!$13:$13))</f>
        <v>818.62316889788178</v>
      </c>
      <c r="AQ113" s="728"/>
      <c r="AR113" s="130" cm="1">
        <f t="array" ref="AR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_xlfn.XMATCH($B$5,'Talnagögn | Numerical Data'!$13:$13))-1</f>
        <v>1.4016884628775044</v>
      </c>
    </row>
    <row r="114" spans="1:44" s="1" customFormat="1" ht="21" customHeight="1" x14ac:dyDescent="0.25">
      <c r="A114" s="252" t="s">
        <v>337</v>
      </c>
      <c r="B114" s="5"/>
      <c r="C114" s="617" t="s">
        <v>56</v>
      </c>
      <c r="D114" s="81" t="str">
        <f>'Talnagögn | Numerical Data'!$D$18</f>
        <v>Kísil- og kísilmálmframleiðsla</v>
      </c>
      <c r="E114" s="733" cm="1">
        <f t="array" ref="E114">INDEX('Talnagögn | Numerical Data'!$1:$1048576, _xlfn.XMATCH($A114,'Talnagögn | Numerical Data'!$A:$A), _xlfn.XMATCH($B$2,'Talnagögn | Numerical Data'!$13:$13))</f>
        <v>408.20430474231654</v>
      </c>
      <c r="F114" s="728"/>
      <c r="G114" s="98">
        <f t="shared" si="4"/>
        <v>8.7831937716930181E-2</v>
      </c>
      <c r="H114" s="733" cm="1">
        <f t="array" ref="H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_xlfn.XMATCH($B$3,'Talnagögn | Numerical Data'!$13:$13))</f>
        <v>-109.51608579337113</v>
      </c>
      <c r="I114" s="728"/>
      <c r="J114" s="71" cm="1">
        <f t="array" ref="J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_xlfn.XMATCH($B$3,'Talnagögn | Numerical Data'!$13:$13))-1</f>
        <v>-0.21153519891317074</v>
      </c>
      <c r="K114" s="796" cm="1">
        <f t="array" ref="K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_xlfn.XMATCH($B$4,'Talnagögn | Numerical Data'!$13:$13))</f>
        <v>28.261410735916513</v>
      </c>
      <c r="L114" s="797"/>
      <c r="M114" s="215" cm="1">
        <f t="array" ref="M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_xlfn.XMATCH($B$4,'Talnagögn | Numerical Data'!$13:$13))-1</f>
        <v>7.4383311760110038E-2</v>
      </c>
      <c r="N114" s="733" cm="1">
        <f t="array" ref="N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_xlfn.XMATCH($B$5,'Talnagögn | Numerical Data'!$13:$13))</f>
        <v>197.64958303564987</v>
      </c>
      <c r="O114" s="728"/>
      <c r="P114" s="130" cm="1">
        <f t="array" ref="P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_xlfn.XMATCH($B$5,'Talnagögn | Numerical Data'!$13:$13))-1</f>
        <v>0.93870886120998254</v>
      </c>
      <c r="S114" s="13"/>
      <c r="T114" s="141"/>
      <c r="U114" s="126"/>
      <c r="V114" s="142"/>
      <c r="W114" s="56"/>
      <c r="X114" s="61"/>
      <c r="Y114" s="14"/>
      <c r="Z114" s="14"/>
      <c r="AA114" s="14"/>
      <c r="AB114" s="14"/>
      <c r="AC114" s="437"/>
      <c r="AF114" s="376" t="str">
        <f>'Talnagögn | Numerical Data'!$E$18</f>
        <v>Ferrosilicon and Silicon Metal Production</v>
      </c>
      <c r="AG114" s="733" cm="1">
        <f t="array" ref="AG114">INDEX('Talnagögn | Numerical Data'!$1:$1048576, _xlfn.XMATCH($A114,'Talnagögn | Numerical Data'!$A:$A), _xlfn.XMATCH($B$2,'Talnagögn | Numerical Data'!$13:$13))</f>
        <v>408.20430474231654</v>
      </c>
      <c r="AH114" s="728"/>
      <c r="AI114" s="98">
        <f t="shared" si="5"/>
        <v>8.7831937716930181E-2</v>
      </c>
      <c r="AJ114" s="733" cm="1">
        <f t="array" ref="AJ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_xlfn.XMATCH($B$3,'Talnagögn | Numerical Data'!$13:$13))</f>
        <v>-109.51608579337113</v>
      </c>
      <c r="AK114" s="728"/>
      <c r="AL114" s="71" cm="1">
        <f t="array" ref="AL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_xlfn.XMATCH($B$3,'Talnagögn | Numerical Data'!$13:$13))-1</f>
        <v>-0.21153519891317074</v>
      </c>
      <c r="AM114" s="796" cm="1">
        <f t="array" ref="AM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_xlfn.XMATCH($B$4,'Talnagögn | Numerical Data'!$13:$13))</f>
        <v>28.261410735916513</v>
      </c>
      <c r="AN114" s="797"/>
      <c r="AO114" s="215" cm="1">
        <f t="array" ref="AO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_xlfn.XMATCH($B$4,'Talnagögn | Numerical Data'!$13:$13))-1</f>
        <v>7.4383311760110038E-2</v>
      </c>
      <c r="AP114" s="733" cm="1">
        <f t="array" ref="AP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_xlfn.XMATCH($B$5,'Talnagögn | Numerical Data'!$13:$13))</f>
        <v>197.64958303564987</v>
      </c>
      <c r="AQ114" s="728"/>
      <c r="AR114" s="130" cm="1">
        <f t="array" ref="AR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_xlfn.XMATCH($B$5,'Talnagögn | Numerical Data'!$13:$13))-1</f>
        <v>0.93870886120998254</v>
      </c>
    </row>
    <row r="115" spans="1:44" s="1" customFormat="1" ht="21" customHeight="1" x14ac:dyDescent="0.25">
      <c r="A115" s="258" t="s">
        <v>52</v>
      </c>
      <c r="B115" s="5"/>
      <c r="C115" s="617" t="s">
        <v>56</v>
      </c>
      <c r="D115" s="81" t="str">
        <f>'Talnagögn | Numerical Data'!$D$19</f>
        <v>Landbúnaður</v>
      </c>
      <c r="E115" s="733" cm="1">
        <f t="array" ref="E115">INDEX('Talnagögn | Numerical Data'!$1:$1048576, _xlfn.XMATCH($A115,'Talnagögn | Numerical Data'!$A:$A), _xlfn.XMATCH($B$2,'Talnagögn | Numerical Data'!$13:$13))</f>
        <v>693.89491902799296</v>
      </c>
      <c r="F115" s="728"/>
      <c r="G115" s="76">
        <f t="shared" si="4"/>
        <v>0.149303019596116</v>
      </c>
      <c r="H115" s="733" cm="1">
        <f t="array" ref="H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_xlfn.XMATCH($B$3,'Talnagögn | Numerical Data'!$13:$13))</f>
        <v>-19.387103879102824</v>
      </c>
      <c r="I115" s="728"/>
      <c r="J115" s="119" cm="1">
        <f t="array" ref="J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_xlfn.XMATCH($B$3,'Talnagögn | Numerical Data'!$13:$13))-1</f>
        <v>-2.7180138089121564E-2</v>
      </c>
      <c r="K115" s="796" cm="1">
        <f t="array" ref="K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_xlfn.XMATCH($B$4,'Talnagögn | Numerical Data'!$13:$13))</f>
        <v>-17.238067864133882</v>
      </c>
      <c r="L115" s="797"/>
      <c r="M115" s="215" cm="1">
        <f t="array" ref="M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_xlfn.XMATCH($B$4,'Talnagögn | Numerical Data'!$13:$13))-1</f>
        <v>-2.4240287234416735E-2</v>
      </c>
      <c r="N115" s="733" cm="1">
        <f t="array" ref="N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_xlfn.XMATCH($B$5,'Talnagögn | Numerical Data'!$13:$13))</f>
        <v>-63.370917106567958</v>
      </c>
      <c r="O115" s="728"/>
      <c r="P115" s="130" cm="1">
        <f t="array" ref="P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_xlfn.XMATCH($B$5,'Talnagögn | Numerical Data'!$13:$13))-1</f>
        <v>-8.368384533236406E-2</v>
      </c>
      <c r="S115" s="13"/>
      <c r="T115" s="141"/>
      <c r="U115" s="126"/>
      <c r="V115" s="142"/>
      <c r="W115" s="91"/>
      <c r="X115" s="61"/>
      <c r="Y115" s="14"/>
      <c r="Z115" s="14"/>
      <c r="AA115" s="14"/>
      <c r="AB115" s="14"/>
      <c r="AC115" s="437"/>
      <c r="AF115" s="376" t="str">
        <f>'Talnagögn | Numerical Data'!$E$19</f>
        <v>Agriculture</v>
      </c>
      <c r="AG115" s="733" cm="1">
        <f t="array" ref="AG115">INDEX('Talnagögn | Numerical Data'!$1:$1048576, _xlfn.XMATCH($A115,'Talnagögn | Numerical Data'!$A:$A), _xlfn.XMATCH($B$2,'Talnagögn | Numerical Data'!$13:$13))</f>
        <v>693.89491902799296</v>
      </c>
      <c r="AH115" s="728"/>
      <c r="AI115" s="76">
        <f t="shared" si="5"/>
        <v>0.149303019596116</v>
      </c>
      <c r="AJ115" s="733" cm="1">
        <f t="array" ref="AJ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_xlfn.XMATCH($B$3,'Talnagögn | Numerical Data'!$13:$13))</f>
        <v>-19.387103879102824</v>
      </c>
      <c r="AK115" s="728"/>
      <c r="AL115" s="119" cm="1">
        <f t="array" ref="AL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_xlfn.XMATCH($B$3,'Talnagögn | Numerical Data'!$13:$13))-1</f>
        <v>-2.7180138089121564E-2</v>
      </c>
      <c r="AM115" s="796" cm="1">
        <f t="array" ref="AM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_xlfn.XMATCH($B$4,'Talnagögn | Numerical Data'!$13:$13))</f>
        <v>-17.238067864133882</v>
      </c>
      <c r="AN115" s="797"/>
      <c r="AO115" s="215" cm="1">
        <f t="array" ref="AO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_xlfn.XMATCH($B$4,'Talnagögn | Numerical Data'!$13:$13))-1</f>
        <v>-2.4240287234416735E-2</v>
      </c>
      <c r="AP115" s="733" cm="1">
        <f t="array" ref="AP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_xlfn.XMATCH($B$5,'Talnagögn | Numerical Data'!$13:$13))</f>
        <v>-63.370917106567958</v>
      </c>
      <c r="AQ115" s="728"/>
      <c r="AR115" s="130" cm="1">
        <f t="array" ref="AR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_xlfn.XMATCH($B$5,'Talnagögn | Numerical Data'!$13:$13))-1</f>
        <v>-8.368384533236406E-2</v>
      </c>
    </row>
    <row r="116" spans="1:44" s="1" customFormat="1" ht="21" customHeight="1" x14ac:dyDescent="0.25">
      <c r="A116" s="258" t="s">
        <v>54</v>
      </c>
      <c r="B116" s="5" t="s">
        <v>56</v>
      </c>
      <c r="C116" s="617" t="s">
        <v>56</v>
      </c>
      <c r="D116" s="81" t="str">
        <f>'Talnagögn | Numerical Data'!$D$20</f>
        <v>Úrgangur</v>
      </c>
      <c r="E116" s="733" cm="1">
        <f t="array" ref="E116">INDEX('Talnagögn | Numerical Data'!$1:$1048576, _xlfn.XMATCH($A116,'Talnagögn | Numerical Data'!$A:$A), _xlfn.XMATCH($B$2,'Talnagögn | Numerical Data'!$13:$13))</f>
        <v>233.17458725375354</v>
      </c>
      <c r="F116" s="728"/>
      <c r="G116" s="98">
        <f t="shared" si="4"/>
        <v>5.0171386207626886E-2</v>
      </c>
      <c r="H116" s="733" cm="1">
        <f t="array" ref="H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_xlfn.XMATCH($B$3,'Talnagögn | Numerical Data'!$13:$13))</f>
        <v>-13.359158480900049</v>
      </c>
      <c r="I116" s="728"/>
      <c r="J116" s="119" cm="1">
        <f t="array" ref="J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_xlfn.XMATCH($B$3,'Talnagögn | Numerical Data'!$13:$13))-1</f>
        <v>-5.4187950785766326E-2</v>
      </c>
      <c r="K116" s="796" cm="1">
        <f t="array" ref="K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_xlfn.XMATCH($B$4,'Talnagögn | Numerical Data'!$13:$13))</f>
        <v>-76.280499096175959</v>
      </c>
      <c r="L116" s="797"/>
      <c r="M116" s="143" cm="1">
        <f t="array" ref="M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_xlfn.XMATCH($B$4,'Talnagögn | Numerical Data'!$13:$13))-1</f>
        <v>-0.24649941933712005</v>
      </c>
      <c r="N116" s="733" cm="1">
        <f t="array" ref="N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_xlfn.XMATCH($B$5,'Talnagögn | Numerical Data'!$13:$13))</f>
        <v>25.693451904575966</v>
      </c>
      <c r="O116" s="728"/>
      <c r="P116" s="72" cm="1">
        <f t="array" ref="P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_xlfn.XMATCH($B$5,'Talnagögn | Numerical Data'!$13:$13))-1</f>
        <v>0.12383512294424026</v>
      </c>
      <c r="S116" s="13"/>
      <c r="T116" s="141"/>
      <c r="U116" s="140"/>
      <c r="V116" s="142"/>
      <c r="W116" s="142"/>
      <c r="X116" s="72"/>
      <c r="Y116" s="14"/>
      <c r="Z116" s="14"/>
      <c r="AA116" s="14"/>
      <c r="AB116" s="14"/>
      <c r="AC116" s="437"/>
      <c r="AF116" s="376" t="str">
        <f>'Talnagögn | Numerical Data'!$E$20</f>
        <v>Waste</v>
      </c>
      <c r="AG116" s="733" cm="1">
        <f t="array" ref="AG116">INDEX('Talnagögn | Numerical Data'!$1:$1048576, _xlfn.XMATCH($A116,'Talnagögn | Numerical Data'!$A:$A), _xlfn.XMATCH($B$2,'Talnagögn | Numerical Data'!$13:$13))</f>
        <v>233.17458725375354</v>
      </c>
      <c r="AH116" s="728"/>
      <c r="AI116" s="98">
        <f t="shared" si="5"/>
        <v>5.0171386207626886E-2</v>
      </c>
      <c r="AJ116" s="733" cm="1">
        <f t="array" ref="AJ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_xlfn.XMATCH($B$3,'Talnagögn | Numerical Data'!$13:$13))</f>
        <v>-13.359158480900049</v>
      </c>
      <c r="AK116" s="728"/>
      <c r="AL116" s="119" cm="1">
        <f t="array" ref="AL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_xlfn.XMATCH($B$3,'Talnagögn | Numerical Data'!$13:$13))-1</f>
        <v>-5.4187950785766326E-2</v>
      </c>
      <c r="AM116" s="796" cm="1">
        <f t="array" ref="AM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_xlfn.XMATCH($B$4,'Talnagögn | Numerical Data'!$13:$13))</f>
        <v>-76.280499096175959</v>
      </c>
      <c r="AN116" s="797"/>
      <c r="AO116" s="143" cm="1">
        <f t="array" ref="AO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_xlfn.XMATCH($B$4,'Talnagögn | Numerical Data'!$13:$13))-1</f>
        <v>-0.24649941933712005</v>
      </c>
      <c r="AP116" s="733" cm="1">
        <f t="array" ref="AP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_xlfn.XMATCH($B$5,'Talnagögn | Numerical Data'!$13:$13))</f>
        <v>25.693451904575966</v>
      </c>
      <c r="AQ116" s="728"/>
      <c r="AR116" s="72" cm="1">
        <f t="array" ref="AR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_xlfn.XMATCH($B$5,'Talnagögn | Numerical Data'!$13:$13))-1</f>
        <v>0.12383512294424026</v>
      </c>
    </row>
    <row r="117" spans="1:44" s="1" customFormat="1" ht="21" customHeight="1" x14ac:dyDescent="0.25">
      <c r="A117" s="155" t="s">
        <v>118</v>
      </c>
      <c r="B117" s="5" t="s">
        <v>56</v>
      </c>
      <c r="C117" s="617" t="s">
        <v>56</v>
      </c>
      <c r="D117" s="60" t="str">
        <f>'Talnagögn | Numerical Data'!$D$21</f>
        <v>Önnur losun</v>
      </c>
      <c r="E117" s="766" cm="1">
        <f t="array" ref="E117">INDEX('Talnagögn | Numerical Data'!$1:$1048576, _xlfn.XMATCH($A117,'Talnagögn | Numerical Data'!$A:$A), _xlfn.XMATCH($B$2,'Talnagögn | Numerical Data'!$13:$13))</f>
        <v>326.32310713235347</v>
      </c>
      <c r="F117" s="767"/>
      <c r="G117" s="87">
        <f t="shared" si="4"/>
        <v>7.0213837748078017E-2</v>
      </c>
      <c r="H117" s="766" cm="1">
        <f t="array" ref="H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_xlfn.XMATCH($B$3,'Talnagögn | Numerical Data'!$13:$13))</f>
        <v>-40.310618065857852</v>
      </c>
      <c r="I117" s="767"/>
      <c r="J117" s="128" cm="1">
        <f t="array" ref="J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_xlfn.XMATCH($B$3,'Talnagögn | Numerical Data'!$13:$13))-1</f>
        <v>-0.10994792703280343</v>
      </c>
      <c r="K117" s="804" cm="1">
        <f t="array" ref="K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_xlfn.XMATCH($B$4,'Talnagögn | Numerical Data'!$13:$13))</f>
        <v>-320.71635192037456</v>
      </c>
      <c r="L117" s="805"/>
      <c r="M117" s="128" cm="1">
        <f t="array" ref="M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_xlfn.XMATCH($B$4,'Talnagögn | Numerical Data'!$13:$13))-1</f>
        <v>-0.4956673776741628</v>
      </c>
      <c r="N117" s="766" cm="1">
        <f t="array" ref="N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_xlfn.XMATCH($B$5,'Talnagögn | Numerical Data'!$13:$13))</f>
        <v>-269.23444815803305</v>
      </c>
      <c r="O117" s="767"/>
      <c r="P117" s="75" cm="1">
        <f t="array" ref="P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_xlfn.XMATCH($B$5,'Talnagögn | Numerical Data'!$13:$13))-1</f>
        <v>-0.45207124948109789</v>
      </c>
      <c r="S117" s="13"/>
      <c r="T117" s="141"/>
      <c r="U117" s="140"/>
      <c r="V117" s="142"/>
      <c r="W117" s="34"/>
      <c r="X117" s="61"/>
      <c r="Y117" s="14"/>
      <c r="Z117" s="14"/>
      <c r="AA117" s="14"/>
      <c r="AB117" s="14"/>
      <c r="AC117" s="437"/>
      <c r="AF117" s="265" t="str">
        <f>'Talnagögn | Numerical Data'!$E$21</f>
        <v>Other Emissions</v>
      </c>
      <c r="AG117" s="766" cm="1">
        <f t="array" ref="AG117">INDEX('Talnagögn | Numerical Data'!$1:$1048576, _xlfn.XMATCH($A117,'Talnagögn | Numerical Data'!$A:$A), _xlfn.XMATCH($B$2,'Talnagögn | Numerical Data'!$13:$13))</f>
        <v>326.32310713235347</v>
      </c>
      <c r="AH117" s="767"/>
      <c r="AI117" s="87">
        <f t="shared" si="5"/>
        <v>7.0213837748078017E-2</v>
      </c>
      <c r="AJ117" s="766" cm="1">
        <f t="array" ref="AJ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_xlfn.XMATCH($B$3,'Talnagögn | Numerical Data'!$13:$13))</f>
        <v>-40.310618065857852</v>
      </c>
      <c r="AK117" s="767"/>
      <c r="AL117" s="128" cm="1">
        <f t="array" ref="AL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_xlfn.XMATCH($B$3,'Talnagögn | Numerical Data'!$13:$13))-1</f>
        <v>-0.10994792703280343</v>
      </c>
      <c r="AM117" s="804" cm="1">
        <f t="array" ref="AM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_xlfn.XMATCH($B$4,'Talnagögn | Numerical Data'!$13:$13))</f>
        <v>-320.71635192037456</v>
      </c>
      <c r="AN117" s="805"/>
      <c r="AO117" s="128" cm="1">
        <f t="array" ref="AO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_xlfn.XMATCH($B$4,'Talnagögn | Numerical Data'!$13:$13))-1</f>
        <v>-0.4956673776741628</v>
      </c>
      <c r="AP117" s="766" cm="1">
        <f t="array" ref="AP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_xlfn.XMATCH($B$5,'Talnagögn | Numerical Data'!$13:$13))</f>
        <v>-269.23444815803305</v>
      </c>
      <c r="AQ117" s="767"/>
      <c r="AR117" s="75" cm="1">
        <f t="array" ref="AR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_xlfn.XMATCH($B$5,'Talnagögn | Numerical Data'!$13:$13))-1</f>
        <v>-0.45207124948109789</v>
      </c>
    </row>
    <row r="118" spans="1:44" s="1" customFormat="1" ht="28.5" customHeight="1" x14ac:dyDescent="0.25">
      <c r="A118" s="155" t="s">
        <v>57</v>
      </c>
      <c r="B118" s="5" t="s">
        <v>56</v>
      </c>
      <c r="C118" s="617" t="s">
        <v>56</v>
      </c>
      <c r="D118" s="62" t="s">
        <v>13</v>
      </c>
      <c r="E118" s="798" cm="1">
        <f t="array" ref="E118">INDEX('Talnagögn | Numerical Data'!$1:$1048576, _xlfn.XMATCH($A118,'Talnagögn | Numerical Data'!$A:$A), _xlfn.XMATCH($B$2,'Talnagögn | Numerical Data'!$13:$13))</f>
        <v>4647.5611873428188</v>
      </c>
      <c r="F118" s="799"/>
      <c r="G118" s="134">
        <f t="shared" si="4"/>
        <v>1</v>
      </c>
      <c r="H118" s="798" cm="1">
        <f t="array" ref="H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_xlfn.XMATCH($B$3,'Talnagögn | Numerical Data'!$13:$13))</f>
        <v>-135.46589720199063</v>
      </c>
      <c r="I118" s="799"/>
      <c r="J118" s="579" cm="1">
        <f t="array" ref="J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_xlfn.XMATCH($B$3,'Talnagögn | Numerical Data'!$13:$13))-1</f>
        <v>-2.8322209932642006E-2</v>
      </c>
      <c r="K118" s="798" cm="1">
        <f t="array" ref="K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_xlfn.XMATCH($B$4,'Talnagögn | Numerical Data'!$13:$13))</f>
        <v>518.48187785187474</v>
      </c>
      <c r="L118" s="799"/>
      <c r="M118" s="147" cm="1">
        <f t="array" ref="M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_xlfn.XMATCH($B$4,'Talnagögn | Numerical Data'!$13:$13))-1</f>
        <v>0.12556839890677618</v>
      </c>
      <c r="N118" s="798" cm="1">
        <f t="array" ref="N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_xlfn.XMATCH($B$5,'Talnagögn | Numerical Data'!$13:$13))</f>
        <v>939.96277144040687</v>
      </c>
      <c r="O118" s="799"/>
      <c r="P118" s="129" cm="1">
        <f t="array" ref="P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_xlfn.XMATCH($B$5,'Talnagögn | Numerical Data'!$13:$13))-1</f>
        <v>0.25352335015809002</v>
      </c>
      <c r="S118" s="13"/>
      <c r="T118" s="145"/>
      <c r="U118" s="146"/>
      <c r="V118" s="14"/>
      <c r="W118" s="14"/>
      <c r="X118" s="14"/>
      <c r="Y118" s="14"/>
      <c r="Z118" s="14"/>
      <c r="AA118" s="14"/>
      <c r="AB118" s="14"/>
      <c r="AC118" s="437"/>
      <c r="AF118" s="46" t="s">
        <v>211</v>
      </c>
      <c r="AG118" s="798" cm="1">
        <f t="array" ref="AG118">INDEX('Talnagögn | Numerical Data'!$1:$1048576, _xlfn.XMATCH($A118,'Talnagögn | Numerical Data'!$A:$A), _xlfn.XMATCH($B$2,'Talnagögn | Numerical Data'!$13:$13))</f>
        <v>4647.5611873428188</v>
      </c>
      <c r="AH118" s="799"/>
      <c r="AI118" s="134">
        <f t="shared" si="5"/>
        <v>1</v>
      </c>
      <c r="AJ118" s="798" cm="1">
        <f t="array" ref="AJ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_xlfn.XMATCH($B$3,'Talnagögn | Numerical Data'!$13:$13))</f>
        <v>-135.46589720199063</v>
      </c>
      <c r="AK118" s="799"/>
      <c r="AL118" s="579" cm="1">
        <f t="array" ref="AL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_xlfn.XMATCH($B$3,'Talnagögn | Numerical Data'!$13:$13))-1</f>
        <v>-2.8322209932642006E-2</v>
      </c>
      <c r="AM118" s="798" cm="1">
        <f t="array" ref="AM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_xlfn.XMATCH($B$4,'Talnagögn | Numerical Data'!$13:$13))</f>
        <v>518.48187785187474</v>
      </c>
      <c r="AN118" s="799"/>
      <c r="AO118" s="147" cm="1">
        <f t="array" ref="AO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_xlfn.XMATCH($B$4,'Talnagögn | Numerical Data'!$13:$13))-1</f>
        <v>0.12556839890677618</v>
      </c>
      <c r="AP118" s="798" cm="1">
        <f t="array" ref="AP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_xlfn.XMATCH($B$5,'Talnagögn | Numerical Data'!$13:$13))</f>
        <v>939.96277144040687</v>
      </c>
      <c r="AQ118" s="799"/>
      <c r="AR118" s="129" cm="1">
        <f t="array" ref="AR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_xlfn.XMATCH($B$5,'Talnagögn | Numerical Data'!$13:$13))-1</f>
        <v>0.25352335015809002</v>
      </c>
    </row>
    <row r="119" spans="1:44" s="1" customFormat="1" ht="13.5" customHeight="1" x14ac:dyDescent="0.25">
      <c r="A119" s="255"/>
      <c r="B119" s="5"/>
      <c r="C119" s="617" t="s">
        <v>56</v>
      </c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3"/>
      <c r="AA119" s="14"/>
      <c r="AB119" s="14"/>
      <c r="AC119" s="380"/>
      <c r="AD119" s="14"/>
      <c r="AE119" s="14"/>
      <c r="AF119" s="14"/>
      <c r="AG119" s="14"/>
      <c r="AH119" s="14"/>
      <c r="AI119" s="14"/>
      <c r="AJ119" s="15"/>
    </row>
    <row r="120" spans="1:44" s="1" customFormat="1" ht="13.5" customHeight="1" x14ac:dyDescent="0.25">
      <c r="A120" s="255"/>
      <c r="B120" s="5"/>
      <c r="C120" s="617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3"/>
      <c r="AA120" s="14"/>
      <c r="AB120" s="14"/>
      <c r="AC120" s="380"/>
      <c r="AD120" s="14"/>
      <c r="AE120" s="14"/>
      <c r="AF120" s="14"/>
      <c r="AG120" s="14"/>
      <c r="AH120" s="14"/>
      <c r="AI120" s="14"/>
      <c r="AJ120" s="15"/>
    </row>
    <row r="121" spans="1:44" s="1" customFormat="1" ht="13.5" customHeight="1" x14ac:dyDescent="0.25">
      <c r="A121" s="255"/>
      <c r="B121" s="5"/>
      <c r="C121" s="617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3"/>
      <c r="AA121" s="14"/>
      <c r="AB121" s="14"/>
      <c r="AC121" s="380"/>
      <c r="AD121" s="14"/>
      <c r="AE121" s="14"/>
      <c r="AF121" s="14"/>
      <c r="AG121" s="14"/>
      <c r="AH121" s="14"/>
      <c r="AI121" s="14"/>
      <c r="AJ121" s="15"/>
    </row>
    <row r="122" spans="1:44" s="1" customFormat="1" ht="13.5" customHeight="1" x14ac:dyDescent="0.25">
      <c r="A122" s="255"/>
      <c r="B122" s="5"/>
      <c r="C122" s="617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3"/>
      <c r="AA122" s="14"/>
      <c r="AB122" s="14"/>
      <c r="AC122" s="380"/>
      <c r="AD122" s="14"/>
      <c r="AE122" s="14"/>
      <c r="AF122" s="14"/>
      <c r="AG122" s="14"/>
      <c r="AH122" s="14"/>
      <c r="AI122" s="14"/>
      <c r="AJ122" s="15"/>
    </row>
    <row r="123" spans="1:44" s="1" customFormat="1" ht="13.5" customHeight="1" x14ac:dyDescent="0.25">
      <c r="A123" s="255"/>
      <c r="B123" s="5"/>
      <c r="C123" s="617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3"/>
      <c r="AA123" s="14"/>
      <c r="AB123" s="14"/>
      <c r="AC123" s="380"/>
      <c r="AD123" s="14"/>
      <c r="AE123" s="14"/>
      <c r="AF123" s="14"/>
      <c r="AG123" s="14"/>
      <c r="AH123" s="14"/>
      <c r="AI123" s="14"/>
      <c r="AJ123" s="15"/>
    </row>
    <row r="124" spans="1:44" s="1" customFormat="1" ht="13.5" customHeight="1" x14ac:dyDescent="0.25">
      <c r="A124" s="255"/>
      <c r="B124" s="5"/>
      <c r="C124" s="617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3"/>
      <c r="AA124" s="14"/>
      <c r="AB124" s="14"/>
      <c r="AC124" s="380"/>
      <c r="AD124" s="14"/>
      <c r="AE124" s="14"/>
      <c r="AF124" s="14"/>
      <c r="AG124" s="14"/>
      <c r="AH124" s="14"/>
      <c r="AI124" s="14"/>
      <c r="AJ124" s="15"/>
    </row>
    <row r="125" spans="1:44" s="1" customFormat="1" ht="13.5" customHeight="1" x14ac:dyDescent="0.25">
      <c r="A125" s="255"/>
      <c r="B125" s="5"/>
      <c r="C125" s="617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3"/>
      <c r="AA125" s="14"/>
      <c r="AB125" s="14"/>
      <c r="AC125" s="380"/>
      <c r="AD125" s="14"/>
      <c r="AE125" s="14"/>
      <c r="AF125" s="14"/>
      <c r="AG125" s="14"/>
      <c r="AH125" s="14"/>
      <c r="AI125" s="14"/>
      <c r="AJ125" s="15"/>
    </row>
    <row r="126" spans="1:44" s="1" customFormat="1" ht="13.5" customHeight="1" x14ac:dyDescent="0.25">
      <c r="A126" s="255"/>
      <c r="B126" s="5"/>
      <c r="C126" s="617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3"/>
      <c r="AA126" s="14"/>
      <c r="AB126" s="14"/>
      <c r="AC126" s="380"/>
      <c r="AD126" s="14"/>
      <c r="AE126" s="14"/>
      <c r="AF126" s="14"/>
      <c r="AG126" s="14"/>
      <c r="AH126" s="14"/>
      <c r="AI126" s="14"/>
      <c r="AJ126" s="15"/>
    </row>
    <row r="127" spans="1:44" s="1" customFormat="1" ht="13.5" customHeight="1" x14ac:dyDescent="0.25">
      <c r="A127" s="255"/>
      <c r="B127" s="5"/>
      <c r="C127" s="617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  <c r="AA127" s="14"/>
      <c r="AB127" s="14"/>
      <c r="AC127" s="380"/>
      <c r="AD127" s="14"/>
      <c r="AE127" s="14"/>
      <c r="AF127" s="14"/>
      <c r="AG127" s="14"/>
      <c r="AH127" s="14"/>
      <c r="AI127" s="14"/>
      <c r="AJ127" s="15"/>
    </row>
    <row r="128" spans="1:44" s="1" customFormat="1" ht="13.5" customHeight="1" x14ac:dyDescent="0.25">
      <c r="A128" s="255"/>
      <c r="B128" s="5"/>
      <c r="C128" s="617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3"/>
      <c r="AA128" s="14"/>
      <c r="AB128" s="14"/>
      <c r="AC128" s="380"/>
      <c r="AD128" s="14"/>
      <c r="AE128" s="14"/>
      <c r="AF128" s="14"/>
      <c r="AG128" s="14"/>
      <c r="AH128" s="14"/>
      <c r="AI128" s="14"/>
      <c r="AJ128" s="15"/>
    </row>
    <row r="129" spans="1:36" s="1" customFormat="1" ht="13.5" customHeight="1" x14ac:dyDescent="0.25">
      <c r="A129" s="255"/>
      <c r="B129" s="5"/>
      <c r="C129" s="617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  <c r="AA129" s="14"/>
      <c r="AB129" s="14"/>
      <c r="AC129" s="380"/>
      <c r="AD129" s="14"/>
      <c r="AE129" s="14"/>
      <c r="AF129" s="14"/>
      <c r="AG129" s="14"/>
      <c r="AH129" s="14"/>
      <c r="AI129" s="14"/>
      <c r="AJ129" s="15"/>
    </row>
    <row r="130" spans="1:36" s="1" customFormat="1" ht="13.5" customHeight="1" x14ac:dyDescent="0.25">
      <c r="A130" s="255"/>
      <c r="B130" s="5"/>
      <c r="C130" s="617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3"/>
      <c r="AA130" s="14"/>
      <c r="AB130" s="14"/>
      <c r="AC130" s="380"/>
      <c r="AD130" s="14"/>
      <c r="AE130" s="14"/>
      <c r="AF130" s="14"/>
      <c r="AG130" s="14"/>
      <c r="AH130" s="14"/>
      <c r="AI130" s="14"/>
      <c r="AJ130" s="15"/>
    </row>
    <row r="131" spans="1:36" s="1" customFormat="1" ht="13.5" customHeight="1" x14ac:dyDescent="0.25">
      <c r="A131" s="255"/>
      <c r="B131" s="5"/>
      <c r="C131" s="617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3"/>
      <c r="AA131" s="14"/>
      <c r="AB131" s="14"/>
      <c r="AC131" s="380"/>
      <c r="AD131" s="14"/>
      <c r="AE131" s="14"/>
      <c r="AF131" s="14"/>
      <c r="AG131" s="14"/>
      <c r="AH131" s="14"/>
      <c r="AI131" s="14"/>
      <c r="AJ131" s="15"/>
    </row>
    <row r="132" spans="1:36" s="1" customFormat="1" ht="13.5" customHeight="1" x14ac:dyDescent="0.25">
      <c r="A132" s="255"/>
      <c r="B132" s="5"/>
      <c r="C132" s="617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3"/>
      <c r="AA132" s="14"/>
      <c r="AB132" s="14"/>
      <c r="AC132" s="380"/>
      <c r="AD132" s="14"/>
      <c r="AE132" s="14"/>
      <c r="AF132" s="14"/>
      <c r="AG132" s="14"/>
      <c r="AH132" s="14"/>
      <c r="AI132" s="14"/>
      <c r="AJ132" s="15"/>
    </row>
    <row r="133" spans="1:36" s="1" customFormat="1" ht="13.5" customHeight="1" x14ac:dyDescent="0.25">
      <c r="A133" s="255"/>
      <c r="B133" s="5"/>
      <c r="C133" s="617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3"/>
      <c r="AA133" s="14"/>
      <c r="AB133" s="14"/>
      <c r="AC133" s="380"/>
      <c r="AD133" s="14"/>
      <c r="AE133" s="14"/>
      <c r="AF133" s="14"/>
      <c r="AG133" s="14"/>
      <c r="AH133" s="14"/>
      <c r="AI133" s="14"/>
      <c r="AJ133" s="15"/>
    </row>
    <row r="134" spans="1:36" s="1" customFormat="1" ht="13.5" customHeight="1" x14ac:dyDescent="0.25">
      <c r="A134" s="255"/>
      <c r="B134" s="5"/>
      <c r="C134" s="617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3"/>
      <c r="AA134" s="14"/>
      <c r="AB134" s="14"/>
      <c r="AC134" s="380"/>
      <c r="AD134" s="14"/>
      <c r="AE134" s="14"/>
      <c r="AF134" s="14"/>
      <c r="AG134" s="14"/>
      <c r="AH134" s="14"/>
      <c r="AI134" s="14"/>
      <c r="AJ134" s="15"/>
    </row>
    <row r="135" spans="1:36" s="1" customFormat="1" ht="13.5" customHeight="1" x14ac:dyDescent="0.25">
      <c r="A135" s="255"/>
      <c r="B135" s="5"/>
      <c r="C135" s="617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3"/>
      <c r="AA135" s="14"/>
      <c r="AB135" s="14"/>
      <c r="AC135" s="380"/>
      <c r="AD135" s="14"/>
      <c r="AE135" s="14"/>
      <c r="AF135" s="14"/>
      <c r="AG135" s="14"/>
      <c r="AH135" s="14"/>
      <c r="AI135" s="14"/>
      <c r="AJ135" s="15"/>
    </row>
    <row r="136" spans="1:36" s="1" customFormat="1" ht="13.5" customHeight="1" x14ac:dyDescent="0.25">
      <c r="A136" s="255"/>
      <c r="B136" s="5"/>
      <c r="C136" s="617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3"/>
      <c r="AA136" s="14"/>
      <c r="AB136" s="14"/>
      <c r="AC136" s="380"/>
      <c r="AD136" s="14"/>
      <c r="AE136" s="14"/>
      <c r="AF136" s="14"/>
      <c r="AG136" s="14"/>
      <c r="AH136" s="14"/>
      <c r="AI136" s="14"/>
      <c r="AJ136" s="15"/>
    </row>
    <row r="137" spans="1:36" s="1" customFormat="1" ht="13.5" customHeight="1" x14ac:dyDescent="0.25">
      <c r="A137" s="255"/>
      <c r="B137" s="5"/>
      <c r="C137" s="617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3"/>
      <c r="AA137" s="14"/>
      <c r="AB137" s="14"/>
      <c r="AC137" s="380"/>
      <c r="AD137" s="14"/>
      <c r="AE137" s="14"/>
      <c r="AF137" s="14"/>
      <c r="AG137" s="14"/>
      <c r="AH137" s="14"/>
      <c r="AI137" s="14"/>
      <c r="AJ137" s="15"/>
    </row>
    <row r="138" spans="1:36" s="1" customFormat="1" ht="13.5" customHeight="1" x14ac:dyDescent="0.25">
      <c r="A138" s="255"/>
      <c r="B138" s="5"/>
      <c r="C138" s="617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3"/>
      <c r="AA138" s="14"/>
      <c r="AB138" s="14"/>
      <c r="AC138" s="380"/>
      <c r="AD138" s="14"/>
      <c r="AE138" s="14"/>
      <c r="AF138" s="14"/>
      <c r="AG138" s="14"/>
      <c r="AH138" s="14"/>
      <c r="AI138" s="14"/>
      <c r="AJ138" s="15"/>
    </row>
    <row r="139" spans="1:36" s="1" customFormat="1" ht="13.5" customHeight="1" x14ac:dyDescent="0.25">
      <c r="A139" s="255"/>
      <c r="B139" s="5"/>
      <c r="C139" s="617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3"/>
      <c r="AA139" s="14"/>
      <c r="AB139" s="14"/>
      <c r="AC139" s="380"/>
      <c r="AD139" s="14"/>
      <c r="AE139" s="14"/>
      <c r="AF139" s="14"/>
      <c r="AG139" s="14"/>
      <c r="AH139" s="14"/>
      <c r="AI139" s="14"/>
      <c r="AJ139" s="15"/>
    </row>
    <row r="140" spans="1:36" s="1" customFormat="1" ht="13.5" customHeight="1" x14ac:dyDescent="0.25">
      <c r="A140" s="255"/>
      <c r="B140" s="5"/>
      <c r="C140" s="617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3"/>
      <c r="AA140" s="14"/>
      <c r="AB140" s="14"/>
      <c r="AC140" s="380"/>
      <c r="AD140" s="14"/>
      <c r="AE140" s="14"/>
      <c r="AF140" s="14"/>
      <c r="AG140" s="14"/>
      <c r="AH140" s="14"/>
      <c r="AI140" s="14"/>
      <c r="AJ140" s="15"/>
    </row>
    <row r="141" spans="1:36" s="1" customFormat="1" ht="13.5" customHeight="1" x14ac:dyDescent="0.25">
      <c r="A141" s="255"/>
      <c r="B141" s="5"/>
      <c r="C141" s="617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3"/>
      <c r="AA141" s="14"/>
      <c r="AB141" s="14"/>
      <c r="AC141" s="380"/>
      <c r="AD141" s="14"/>
      <c r="AE141" s="14"/>
      <c r="AF141" s="14"/>
      <c r="AG141" s="14"/>
      <c r="AH141" s="14"/>
      <c r="AI141" s="14"/>
      <c r="AJ141" s="15"/>
    </row>
    <row r="142" spans="1:36" s="1" customFormat="1" ht="13.5" customHeight="1" x14ac:dyDescent="0.25">
      <c r="A142" s="255"/>
      <c r="B142" s="5"/>
      <c r="C142" s="617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3"/>
      <c r="AA142" s="14"/>
      <c r="AB142" s="14"/>
      <c r="AC142" s="380"/>
      <c r="AD142" s="14"/>
      <c r="AE142" s="14"/>
      <c r="AF142" s="14"/>
      <c r="AG142" s="14"/>
      <c r="AH142" s="14"/>
      <c r="AI142" s="14"/>
      <c r="AJ142" s="15"/>
    </row>
    <row r="143" spans="1:36" s="1" customFormat="1" ht="13.5" customHeight="1" x14ac:dyDescent="0.25">
      <c r="A143" s="255"/>
      <c r="B143" s="5"/>
      <c r="C143" s="617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3"/>
      <c r="AA143" s="14"/>
      <c r="AB143" s="14"/>
      <c r="AC143" s="380"/>
      <c r="AD143" s="14"/>
      <c r="AE143" s="14"/>
      <c r="AF143" s="14"/>
      <c r="AG143" s="14"/>
      <c r="AH143" s="14"/>
      <c r="AI143" s="14"/>
      <c r="AJ143" s="15"/>
    </row>
    <row r="144" spans="1:36" s="1" customFormat="1" ht="13.5" customHeight="1" x14ac:dyDescent="0.25">
      <c r="A144" s="255"/>
      <c r="B144" s="5"/>
      <c r="C144" s="617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3"/>
      <c r="AA144" s="14"/>
      <c r="AB144" s="14"/>
      <c r="AC144" s="380"/>
      <c r="AD144" s="14"/>
      <c r="AE144" s="14"/>
      <c r="AF144" s="14"/>
      <c r="AG144" s="14"/>
      <c r="AH144" s="14"/>
      <c r="AI144" s="14"/>
      <c r="AJ144" s="15"/>
    </row>
    <row r="145" spans="1:36" s="1" customFormat="1" ht="13.5" customHeight="1" x14ac:dyDescent="0.25">
      <c r="A145" s="255"/>
      <c r="B145" s="5"/>
      <c r="C145" s="617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3"/>
      <c r="AA145" s="14"/>
      <c r="AB145" s="14"/>
      <c r="AC145" s="380"/>
      <c r="AD145" s="14"/>
      <c r="AE145" s="14"/>
      <c r="AF145" s="14"/>
      <c r="AG145" s="14"/>
      <c r="AH145" s="14"/>
      <c r="AI145" s="14"/>
      <c r="AJ145" s="15"/>
    </row>
    <row r="146" spans="1:36" s="1" customFormat="1" ht="13.5" customHeight="1" x14ac:dyDescent="0.25">
      <c r="A146" s="255"/>
      <c r="B146" s="5"/>
      <c r="C146" s="617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3"/>
      <c r="AA146" s="14"/>
      <c r="AB146" s="14"/>
      <c r="AC146" s="380"/>
      <c r="AD146" s="14"/>
      <c r="AE146" s="14"/>
      <c r="AF146" s="14"/>
      <c r="AG146" s="14"/>
      <c r="AH146" s="14"/>
      <c r="AI146" s="14"/>
      <c r="AJ146" s="15"/>
    </row>
    <row r="147" spans="1:36" s="1" customFormat="1" ht="13.5" customHeight="1" x14ac:dyDescent="0.25">
      <c r="A147" s="255"/>
      <c r="B147" s="5"/>
      <c r="C147" s="617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3"/>
      <c r="AA147" s="14"/>
      <c r="AB147" s="14"/>
      <c r="AC147" s="380"/>
      <c r="AD147" s="14"/>
      <c r="AE147" s="14"/>
      <c r="AF147" s="14"/>
      <c r="AG147" s="14"/>
      <c r="AH147" s="14"/>
      <c r="AI147" s="14"/>
      <c r="AJ147" s="15"/>
    </row>
    <row r="148" spans="1:36" s="219" customFormat="1" ht="27" customHeight="1" x14ac:dyDescent="0.25">
      <c r="D148" s="586" t="s">
        <v>35</v>
      </c>
      <c r="AC148" s="381"/>
      <c r="AF148" s="586" t="s">
        <v>215</v>
      </c>
    </row>
    <row r="149" spans="1:36" s="1" customFormat="1" ht="13.35" customHeight="1" x14ac:dyDescent="0.25">
      <c r="A149" s="255"/>
      <c r="C149" s="617" t="s">
        <v>56</v>
      </c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  <c r="AA149" s="14"/>
      <c r="AB149" s="14"/>
      <c r="AC149" s="380"/>
      <c r="AD149" s="14"/>
      <c r="AE149" s="14"/>
      <c r="AF149" s="14"/>
      <c r="AG149" s="14"/>
      <c r="AH149" s="14"/>
      <c r="AI149" s="14"/>
      <c r="AJ149" s="15"/>
    </row>
    <row r="150" spans="1:36" ht="15" customHeight="1" x14ac:dyDescent="0.25">
      <c r="B150" s="1"/>
      <c r="C150" s="617" t="s">
        <v>56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343"/>
      <c r="AA150" s="7"/>
      <c r="AB150" s="7"/>
      <c r="AC150" s="438"/>
      <c r="AD150" s="7"/>
      <c r="AE150" s="7"/>
      <c r="AF150" s="7"/>
      <c r="AG150" s="7"/>
      <c r="AH150" s="7"/>
      <c r="AI150" s="7"/>
      <c r="AJ150" s="6"/>
    </row>
    <row r="151" spans="1:36" s="1" customFormat="1" ht="13.35" customHeight="1" x14ac:dyDescent="0.25">
      <c r="A151" s="255"/>
      <c r="C151" s="617" t="s">
        <v>56</v>
      </c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3"/>
      <c r="AA151" s="14"/>
      <c r="AB151" s="14"/>
      <c r="AC151" s="380"/>
      <c r="AD151" s="14"/>
      <c r="AE151" s="14"/>
      <c r="AF151" s="14"/>
      <c r="AG151" s="14"/>
      <c r="AH151" s="14"/>
      <c r="AI151" s="14"/>
      <c r="AJ151" s="15"/>
    </row>
    <row r="152" spans="1:36" s="1" customFormat="1" ht="13.5" customHeight="1" x14ac:dyDescent="0.25">
      <c r="A152" s="255"/>
      <c r="C152" s="617" t="s">
        <v>56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3"/>
      <c r="AA152" s="14"/>
      <c r="AB152" s="14"/>
      <c r="AC152" s="380"/>
      <c r="AD152" s="14"/>
      <c r="AE152" s="14"/>
      <c r="AF152" s="14"/>
      <c r="AG152" s="14"/>
      <c r="AH152" s="14"/>
      <c r="AI152" s="14"/>
      <c r="AJ152" s="15"/>
    </row>
    <row r="153" spans="1:36" s="1" customFormat="1" ht="13.5" customHeight="1" x14ac:dyDescent="0.25">
      <c r="A153" s="255"/>
      <c r="B153" s="5"/>
      <c r="C153" s="617" t="s">
        <v>56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  <c r="AA153" s="14"/>
      <c r="AB153" s="14"/>
      <c r="AC153" s="380"/>
      <c r="AD153" s="14"/>
      <c r="AE153" s="14"/>
      <c r="AF153" s="14"/>
      <c r="AG153" s="14"/>
      <c r="AH153" s="14"/>
      <c r="AI153" s="14"/>
      <c r="AJ153" s="15"/>
    </row>
    <row r="154" spans="1:36" s="1" customFormat="1" ht="13.5" customHeight="1" x14ac:dyDescent="0.25">
      <c r="A154" s="255"/>
      <c r="B154" s="5"/>
      <c r="C154" s="617" t="s">
        <v>56</v>
      </c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3"/>
      <c r="AA154" s="14"/>
      <c r="AB154" s="14"/>
      <c r="AC154" s="380"/>
      <c r="AD154" s="14"/>
      <c r="AE154" s="14"/>
      <c r="AF154" s="14"/>
      <c r="AG154" s="14"/>
      <c r="AH154" s="14"/>
      <c r="AI154" s="14"/>
      <c r="AJ154" s="15"/>
    </row>
    <row r="155" spans="1:36" s="1" customFormat="1" ht="13.5" customHeight="1" x14ac:dyDescent="0.25">
      <c r="A155" s="255"/>
      <c r="B155" s="5"/>
      <c r="C155" s="617" t="s">
        <v>56</v>
      </c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3"/>
      <c r="AA155" s="14"/>
      <c r="AB155" s="14"/>
      <c r="AC155" s="380"/>
      <c r="AD155" s="14"/>
      <c r="AE155" s="14"/>
      <c r="AF155" s="14"/>
      <c r="AG155" s="14"/>
      <c r="AH155" s="14"/>
      <c r="AI155" s="14"/>
      <c r="AJ155" s="15"/>
    </row>
    <row r="156" spans="1:36" s="1" customFormat="1" ht="13.5" customHeight="1" x14ac:dyDescent="0.25">
      <c r="A156" s="255"/>
      <c r="B156" s="5"/>
      <c r="C156" s="617" t="s">
        <v>56</v>
      </c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3"/>
      <c r="AA156" s="14"/>
      <c r="AB156" s="14"/>
      <c r="AC156" s="380"/>
      <c r="AD156" s="14"/>
      <c r="AE156" s="14"/>
      <c r="AF156" s="14"/>
      <c r="AG156" s="14"/>
      <c r="AH156" s="14"/>
      <c r="AI156" s="14"/>
      <c r="AJ156" s="15"/>
    </row>
    <row r="157" spans="1:36" s="1" customFormat="1" ht="13.5" customHeight="1" x14ac:dyDescent="0.25">
      <c r="A157" s="255"/>
      <c r="B157" s="5"/>
      <c r="C157" s="617" t="s">
        <v>56</v>
      </c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  <c r="AA157" s="14"/>
      <c r="AB157" s="14"/>
      <c r="AC157" s="380"/>
      <c r="AD157" s="14"/>
      <c r="AE157" s="14"/>
      <c r="AF157" s="14"/>
      <c r="AG157" s="14"/>
      <c r="AH157" s="14"/>
      <c r="AI157" s="14"/>
      <c r="AJ157" s="15"/>
    </row>
    <row r="158" spans="1:36" s="1" customFormat="1" ht="13.5" customHeight="1" x14ac:dyDescent="0.25">
      <c r="A158" s="255"/>
      <c r="B158" s="5"/>
      <c r="C158" s="617" t="s">
        <v>56</v>
      </c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3"/>
      <c r="AA158" s="14"/>
      <c r="AB158" s="14"/>
      <c r="AC158" s="380"/>
      <c r="AD158" s="14"/>
      <c r="AE158" s="14"/>
      <c r="AF158" s="14"/>
      <c r="AG158" s="14"/>
      <c r="AH158" s="14"/>
      <c r="AI158" s="14"/>
      <c r="AJ158" s="15"/>
    </row>
    <row r="159" spans="1:36" s="1" customFormat="1" ht="13.5" customHeight="1" x14ac:dyDescent="0.25">
      <c r="A159" s="255"/>
      <c r="B159" s="5"/>
      <c r="C159" s="617" t="s">
        <v>56</v>
      </c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3"/>
      <c r="AA159" s="14"/>
      <c r="AB159" s="14"/>
      <c r="AC159" s="380"/>
      <c r="AD159" s="14"/>
      <c r="AE159" s="14"/>
      <c r="AF159" s="14"/>
      <c r="AG159" s="14"/>
      <c r="AH159" s="14"/>
      <c r="AI159" s="14"/>
      <c r="AJ159" s="15"/>
    </row>
    <row r="160" spans="1:36" s="1" customFormat="1" ht="13.5" customHeight="1" x14ac:dyDescent="0.25">
      <c r="A160" s="255"/>
      <c r="B160" s="5"/>
      <c r="C160" s="617" t="s">
        <v>56</v>
      </c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3"/>
      <c r="AA160" s="14"/>
      <c r="AB160" s="14"/>
      <c r="AC160" s="380"/>
      <c r="AD160" s="14"/>
      <c r="AE160" s="14"/>
      <c r="AF160" s="14"/>
      <c r="AG160" s="14"/>
      <c r="AH160" s="14"/>
      <c r="AI160" s="14"/>
      <c r="AJ160" s="15"/>
    </row>
    <row r="161" spans="1:36" s="1" customFormat="1" ht="13.5" customHeight="1" x14ac:dyDescent="0.25">
      <c r="A161" s="255"/>
      <c r="B161" s="5"/>
      <c r="C161" s="617" t="s">
        <v>56</v>
      </c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3"/>
      <c r="AA161" s="14"/>
      <c r="AB161" s="14"/>
      <c r="AC161" s="380"/>
      <c r="AD161" s="14"/>
      <c r="AE161" s="14"/>
      <c r="AF161" s="14"/>
      <c r="AG161" s="14"/>
      <c r="AH161" s="14"/>
      <c r="AI161" s="14"/>
      <c r="AJ161" s="15"/>
    </row>
    <row r="162" spans="1:36" s="1" customFormat="1" ht="13.5" customHeight="1" x14ac:dyDescent="0.25">
      <c r="A162" s="255"/>
      <c r="B162" s="5"/>
      <c r="C162" s="617" t="s">
        <v>56</v>
      </c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3"/>
      <c r="AA162" s="14"/>
      <c r="AB162" s="14"/>
      <c r="AC162" s="380"/>
      <c r="AD162" s="14"/>
      <c r="AE162" s="14"/>
      <c r="AF162" s="14"/>
      <c r="AG162" s="14"/>
      <c r="AH162" s="14"/>
      <c r="AI162" s="14"/>
      <c r="AJ162" s="15"/>
    </row>
    <row r="163" spans="1:36" s="1" customFormat="1" ht="13.5" customHeight="1" x14ac:dyDescent="0.25">
      <c r="A163" s="255"/>
      <c r="B163" s="5"/>
      <c r="C163" s="617" t="s">
        <v>56</v>
      </c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3"/>
      <c r="AA163" s="14"/>
      <c r="AB163" s="14"/>
      <c r="AC163" s="380"/>
      <c r="AD163" s="14"/>
      <c r="AE163" s="14"/>
      <c r="AF163" s="14"/>
      <c r="AG163" s="14"/>
      <c r="AH163" s="14"/>
      <c r="AI163" s="14"/>
      <c r="AJ163" s="15"/>
    </row>
    <row r="164" spans="1:36" s="1" customFormat="1" ht="13.5" customHeight="1" x14ac:dyDescent="0.25">
      <c r="A164" s="255"/>
      <c r="B164" s="5"/>
      <c r="C164" s="617" t="s">
        <v>56</v>
      </c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3"/>
      <c r="AA164" s="14"/>
      <c r="AB164" s="14"/>
      <c r="AC164" s="380"/>
      <c r="AD164" s="14"/>
      <c r="AE164" s="14"/>
      <c r="AF164" s="14"/>
      <c r="AG164" s="14"/>
      <c r="AH164" s="14"/>
      <c r="AI164" s="14"/>
      <c r="AJ164" s="15"/>
    </row>
    <row r="165" spans="1:36" s="1" customFormat="1" ht="13.5" customHeight="1" x14ac:dyDescent="0.25">
      <c r="A165" s="255"/>
      <c r="B165" s="5"/>
      <c r="C165" s="617" t="s">
        <v>56</v>
      </c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3"/>
      <c r="AA165" s="14"/>
      <c r="AB165" s="14"/>
      <c r="AC165" s="380"/>
      <c r="AD165" s="14"/>
      <c r="AE165" s="14"/>
      <c r="AF165" s="14"/>
      <c r="AG165" s="14"/>
      <c r="AH165" s="14"/>
      <c r="AI165" s="14"/>
      <c r="AJ165" s="15"/>
    </row>
    <row r="166" spans="1:36" s="1" customFormat="1" ht="13.5" customHeight="1" x14ac:dyDescent="0.25">
      <c r="A166" s="255"/>
      <c r="B166" s="5"/>
      <c r="C166" s="617" t="s">
        <v>56</v>
      </c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3"/>
      <c r="AA166" s="14"/>
      <c r="AB166" s="14"/>
      <c r="AC166" s="380"/>
      <c r="AD166" s="14"/>
      <c r="AE166" s="14"/>
      <c r="AF166" s="14"/>
      <c r="AG166" s="14"/>
      <c r="AH166" s="14"/>
      <c r="AI166" s="14"/>
      <c r="AJ166" s="15"/>
    </row>
    <row r="167" spans="1:36" s="1" customFormat="1" ht="13.5" customHeight="1" x14ac:dyDescent="0.25">
      <c r="A167" s="255"/>
      <c r="B167" s="5"/>
      <c r="C167" s="617" t="s">
        <v>56</v>
      </c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3"/>
      <c r="AA167" s="14"/>
      <c r="AB167" s="14"/>
      <c r="AC167" s="380"/>
      <c r="AD167" s="14"/>
      <c r="AE167" s="14"/>
      <c r="AF167" s="14"/>
      <c r="AG167" s="14"/>
      <c r="AH167" s="14"/>
      <c r="AI167" s="14"/>
      <c r="AJ167" s="15"/>
    </row>
    <row r="168" spans="1:36" s="1" customFormat="1" ht="13.5" customHeight="1" x14ac:dyDescent="0.25">
      <c r="A168" s="255"/>
      <c r="B168" s="5"/>
      <c r="C168" s="617" t="s">
        <v>56</v>
      </c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3"/>
      <c r="AA168" s="14"/>
      <c r="AB168" s="14"/>
      <c r="AC168" s="380"/>
      <c r="AD168" s="14"/>
      <c r="AE168" s="14"/>
      <c r="AF168" s="14"/>
      <c r="AG168" s="14"/>
      <c r="AH168" s="14"/>
      <c r="AI168" s="14"/>
      <c r="AJ168" s="15"/>
    </row>
    <row r="169" spans="1:36" s="1" customFormat="1" ht="13.5" customHeight="1" x14ac:dyDescent="0.25">
      <c r="A169" s="255"/>
      <c r="B169" s="5"/>
      <c r="C169" s="617" t="s">
        <v>56</v>
      </c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3"/>
      <c r="AA169" s="14"/>
      <c r="AB169" s="14"/>
      <c r="AC169" s="380"/>
      <c r="AD169" s="14"/>
      <c r="AE169" s="14"/>
      <c r="AF169" s="14"/>
      <c r="AG169" s="14"/>
      <c r="AH169" s="14"/>
      <c r="AI169" s="14"/>
      <c r="AJ169" s="15"/>
    </row>
    <row r="170" spans="1:36" s="1" customFormat="1" ht="13.5" customHeight="1" x14ac:dyDescent="0.25">
      <c r="A170" s="255"/>
      <c r="B170" s="5"/>
      <c r="C170" s="617" t="s">
        <v>56</v>
      </c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3"/>
      <c r="AA170" s="14"/>
      <c r="AB170" s="14"/>
      <c r="AC170" s="380"/>
      <c r="AD170" s="14"/>
      <c r="AE170" s="14"/>
      <c r="AF170" s="14"/>
      <c r="AG170" s="14"/>
      <c r="AH170" s="14"/>
      <c r="AI170" s="14"/>
      <c r="AJ170" s="15"/>
    </row>
    <row r="171" spans="1:36" s="1" customFormat="1" ht="13.5" customHeight="1" x14ac:dyDescent="0.25">
      <c r="A171" s="255"/>
      <c r="B171" s="5"/>
      <c r="C171" s="617" t="s">
        <v>56</v>
      </c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3"/>
      <c r="AA171" s="14"/>
      <c r="AB171" s="14"/>
      <c r="AC171" s="380"/>
      <c r="AD171" s="14"/>
      <c r="AE171" s="14"/>
      <c r="AF171" s="14"/>
      <c r="AG171" s="14"/>
      <c r="AH171" s="14"/>
      <c r="AI171" s="14"/>
      <c r="AJ171" s="15"/>
    </row>
    <row r="172" spans="1:36" s="1" customFormat="1" ht="13.5" customHeight="1" x14ac:dyDescent="0.25">
      <c r="A172" s="255"/>
      <c r="B172" s="5"/>
      <c r="C172" s="617" t="s">
        <v>56</v>
      </c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3"/>
      <c r="AA172" s="14"/>
      <c r="AB172" s="14"/>
      <c r="AC172" s="380"/>
      <c r="AD172" s="14"/>
      <c r="AE172" s="14"/>
      <c r="AF172" s="14"/>
      <c r="AG172" s="14"/>
      <c r="AH172" s="14"/>
      <c r="AI172" s="14"/>
      <c r="AJ172" s="15"/>
    </row>
    <row r="173" spans="1:36" s="1" customFormat="1" ht="13.5" customHeight="1" x14ac:dyDescent="0.25">
      <c r="A173" s="255"/>
      <c r="B173" s="5"/>
      <c r="C173" s="617" t="s">
        <v>56</v>
      </c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  <c r="AA173" s="14"/>
      <c r="AB173" s="14"/>
      <c r="AC173" s="380"/>
      <c r="AD173" s="14"/>
      <c r="AE173" s="14"/>
      <c r="AF173" s="14"/>
      <c r="AG173" s="14"/>
      <c r="AH173" s="14"/>
      <c r="AI173" s="14"/>
      <c r="AJ173" s="15"/>
    </row>
    <row r="174" spans="1:36" s="1" customFormat="1" ht="13.5" customHeight="1" x14ac:dyDescent="0.25">
      <c r="A174" s="255"/>
      <c r="B174" s="5"/>
      <c r="C174" s="617" t="s">
        <v>56</v>
      </c>
      <c r="D174" s="11"/>
      <c r="E174" s="12"/>
      <c r="F174" s="12"/>
      <c r="G174" s="12"/>
      <c r="H174" s="12"/>
      <c r="I174" s="12"/>
      <c r="J174" s="12"/>
      <c r="K174" s="12"/>
      <c r="L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3"/>
      <c r="AA174" s="14"/>
      <c r="AB174" s="14"/>
      <c r="AC174" s="380"/>
      <c r="AD174" s="14"/>
      <c r="AE174" s="14"/>
      <c r="AF174" s="14"/>
      <c r="AG174" s="14"/>
      <c r="AH174" s="14"/>
      <c r="AI174" s="14"/>
      <c r="AJ174" s="15"/>
    </row>
    <row r="175" spans="1:36" s="1" customFormat="1" ht="13.5" customHeight="1" x14ac:dyDescent="0.25">
      <c r="A175" s="255"/>
      <c r="B175" s="5"/>
      <c r="C175" s="617" t="s">
        <v>56</v>
      </c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3"/>
      <c r="AA175" s="14"/>
      <c r="AB175" s="14"/>
      <c r="AC175" s="380"/>
      <c r="AD175" s="14"/>
      <c r="AE175" s="14"/>
      <c r="AF175" s="14"/>
      <c r="AG175" s="14"/>
      <c r="AH175" s="14"/>
      <c r="AI175" s="14"/>
      <c r="AJ175" s="15"/>
    </row>
    <row r="176" spans="1:36" s="1" customFormat="1" ht="13.5" customHeight="1" x14ac:dyDescent="0.25">
      <c r="A176" s="255"/>
      <c r="B176" s="5"/>
      <c r="C176" s="617" t="s">
        <v>56</v>
      </c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3"/>
      <c r="AA176" s="14"/>
      <c r="AB176" s="14"/>
      <c r="AC176" s="380"/>
      <c r="AD176" s="14"/>
      <c r="AE176" s="14"/>
      <c r="AF176" s="14"/>
      <c r="AG176" s="14"/>
      <c r="AH176" s="14"/>
      <c r="AI176" s="14"/>
      <c r="AJ176" s="15"/>
    </row>
    <row r="177" spans="1:54" s="1" customFormat="1" ht="13.5" customHeight="1" x14ac:dyDescent="0.25">
      <c r="A177" s="255"/>
      <c r="B177" s="5"/>
      <c r="C177" s="617" t="s">
        <v>56</v>
      </c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3"/>
      <c r="AA177" s="14"/>
      <c r="AB177" s="14"/>
      <c r="AC177" s="380"/>
      <c r="AD177" s="14"/>
      <c r="AE177" s="14"/>
      <c r="AF177" s="14"/>
      <c r="AG177" s="14"/>
      <c r="AH177" s="14"/>
      <c r="AI177" s="14"/>
      <c r="AJ177" s="15"/>
    </row>
    <row r="178" spans="1:54" s="1" customFormat="1" ht="13.5" customHeight="1" x14ac:dyDescent="0.25">
      <c r="A178" s="255"/>
      <c r="B178" s="5"/>
      <c r="C178" s="617" t="s">
        <v>56</v>
      </c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3"/>
      <c r="AA178" s="14"/>
      <c r="AB178" s="14"/>
      <c r="AC178" s="380"/>
      <c r="AD178" s="14"/>
      <c r="AE178" s="14"/>
      <c r="AF178" s="14"/>
      <c r="AG178" s="14"/>
      <c r="AH178" s="14"/>
      <c r="AI178" s="14"/>
      <c r="AJ178" s="15"/>
    </row>
    <row r="179" spans="1:54" s="1" customFormat="1" ht="13.5" customHeight="1" x14ac:dyDescent="0.25">
      <c r="A179" s="255"/>
      <c r="B179" s="5"/>
      <c r="C179" s="617" t="s">
        <v>56</v>
      </c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3"/>
      <c r="AA179" s="14"/>
      <c r="AB179" s="14"/>
      <c r="AC179" s="380"/>
      <c r="AD179" s="14"/>
      <c r="AE179" s="14"/>
      <c r="AF179" s="14"/>
      <c r="AG179" s="14"/>
      <c r="AH179" s="14"/>
      <c r="AI179" s="14"/>
      <c r="AJ179" s="15"/>
    </row>
    <row r="180" spans="1:54" s="315" customFormat="1" ht="82.5" customHeight="1" x14ac:dyDescent="0.25">
      <c r="D180" s="315" t="s">
        <v>14</v>
      </c>
      <c r="E180" s="316"/>
      <c r="AC180" s="425"/>
      <c r="AF180" s="315" t="s">
        <v>234</v>
      </c>
      <c r="AY180" s="316"/>
      <c r="AZ180" s="316"/>
      <c r="BA180" s="316"/>
      <c r="BB180" s="316"/>
    </row>
    <row r="181" spans="1:54" s="1" customFormat="1" x14ac:dyDescent="0.25">
      <c r="A181" s="409"/>
      <c r="B181" s="409"/>
      <c r="C181" s="617" t="s">
        <v>56</v>
      </c>
      <c r="AC181" s="377"/>
    </row>
    <row r="182" spans="1:54" s="1" customFormat="1" ht="33.75" customHeight="1" x14ac:dyDescent="0.25">
      <c r="A182" s="409"/>
      <c r="B182" s="409"/>
      <c r="C182" s="617" t="s">
        <v>56</v>
      </c>
      <c r="D182" s="800" t="str">
        <f>"Losun árið "&amp;$B$2&amp;" í samanburði við losun fyrri ára"</f>
        <v>Losun árið 2023 í samanburði við losun fyrri ára</v>
      </c>
      <c r="E182" s="800"/>
      <c r="F182" s="800"/>
      <c r="G182" s="800"/>
      <c r="H182" s="800"/>
      <c r="I182" s="800"/>
      <c r="J182" s="800"/>
      <c r="K182" s="800"/>
      <c r="L182" s="800"/>
      <c r="M182" s="800"/>
      <c r="N182" s="800"/>
      <c r="O182" s="800"/>
      <c r="P182" s="800"/>
      <c r="AC182" s="377"/>
      <c r="AF182" s="800" t="str">
        <f>$AF$4</f>
        <v>Emissions in 2023 compared to emissions in previous years</v>
      </c>
      <c r="AG182" s="800"/>
      <c r="AH182" s="800"/>
      <c r="AI182" s="800"/>
      <c r="AJ182" s="800"/>
      <c r="AK182" s="800"/>
      <c r="AL182" s="800"/>
      <c r="AM182" s="800"/>
      <c r="AN182" s="800"/>
      <c r="AO182" s="800"/>
      <c r="AP182" s="800"/>
      <c r="AQ182" s="800"/>
      <c r="AR182" s="800"/>
    </row>
    <row r="183" spans="1:54" s="1" customFormat="1" ht="29.1" customHeight="1" x14ac:dyDescent="0.25">
      <c r="A183" s="409"/>
      <c r="B183" s="409"/>
      <c r="C183" s="617" t="s">
        <v>56</v>
      </c>
      <c r="D183" s="317"/>
      <c r="E183" s="681" t="str">
        <f>"Losun "&amp;$B$2</f>
        <v>Losun 2023</v>
      </c>
      <c r="F183" s="683"/>
      <c r="G183" s="682"/>
      <c r="H183" s="681" t="str">
        <f>"Breyting frá "&amp;$B$3</f>
        <v>Breyting frá 2022</v>
      </c>
      <c r="I183" s="683"/>
      <c r="J183" s="682"/>
      <c r="K183" s="681" t="str">
        <f>"Breyting frá "&amp;$B$4</f>
        <v>Breyting frá 2005</v>
      </c>
      <c r="L183" s="683"/>
      <c r="M183" s="682"/>
      <c r="N183" s="681" t="str">
        <f>"Breyting frá "&amp;$B$5</f>
        <v>Breyting frá 1990</v>
      </c>
      <c r="O183" s="683"/>
      <c r="P183" s="683"/>
      <c r="AC183" s="377"/>
      <c r="AF183" s="317"/>
      <c r="AG183" s="801" t="str">
        <f>"Emissions in "&amp;$B$2</f>
        <v>Emissions in 2023</v>
      </c>
      <c r="AH183" s="802"/>
      <c r="AI183" s="803"/>
      <c r="AJ183" s="801" t="str">
        <f>"Change from "&amp;$B$3</f>
        <v>Change from 2022</v>
      </c>
      <c r="AK183" s="802"/>
      <c r="AL183" s="803"/>
      <c r="AM183" s="801" t="str">
        <f>"Change from "&amp;$B$4</f>
        <v>Change from 2005</v>
      </c>
      <c r="AN183" s="802"/>
      <c r="AO183" s="803"/>
      <c r="AP183" s="801" t="str">
        <f>"Change from "&amp;$B$5</f>
        <v>Change from 1990</v>
      </c>
      <c r="AQ183" s="802"/>
      <c r="AR183" s="802"/>
    </row>
    <row r="184" spans="1:54" s="43" customFormat="1" ht="25.5" customHeight="1" x14ac:dyDescent="0.25">
      <c r="A184" s="409"/>
      <c r="B184" s="1"/>
      <c r="C184" s="617" t="s">
        <v>56</v>
      </c>
      <c r="D184" s="317"/>
      <c r="E184" s="792" t="s">
        <v>5</v>
      </c>
      <c r="F184" s="793"/>
      <c r="G184" s="318" t="s">
        <v>4</v>
      </c>
      <c r="H184" s="792" t="s">
        <v>5</v>
      </c>
      <c r="I184" s="793"/>
      <c r="J184" s="318" t="s">
        <v>4</v>
      </c>
      <c r="K184" s="792" t="s">
        <v>5</v>
      </c>
      <c r="L184" s="793"/>
      <c r="M184" s="318" t="s">
        <v>4</v>
      </c>
      <c r="N184" s="793" t="s">
        <v>5</v>
      </c>
      <c r="O184" s="793"/>
      <c r="P184" s="607" t="s">
        <v>4</v>
      </c>
      <c r="AC184" s="426"/>
      <c r="AF184" s="317"/>
      <c r="AG184" s="792" t="s">
        <v>204</v>
      </c>
      <c r="AH184" s="793"/>
      <c r="AI184" s="607" t="s">
        <v>4</v>
      </c>
      <c r="AJ184" s="792" t="s">
        <v>204</v>
      </c>
      <c r="AK184" s="793"/>
      <c r="AL184" s="607" t="s">
        <v>4</v>
      </c>
      <c r="AM184" s="792" t="s">
        <v>204</v>
      </c>
      <c r="AN184" s="793"/>
      <c r="AO184" s="607" t="s">
        <v>4</v>
      </c>
      <c r="AP184" s="792" t="s">
        <v>204</v>
      </c>
      <c r="AQ184" s="793"/>
      <c r="AR184" s="607" t="s">
        <v>4</v>
      </c>
    </row>
    <row r="185" spans="1:54" s="1" customFormat="1" ht="21" customHeight="1" x14ac:dyDescent="0.25">
      <c r="A185" s="251" t="s">
        <v>58</v>
      </c>
      <c r="C185" s="617" t="s">
        <v>56</v>
      </c>
      <c r="D185" s="533" t="str">
        <f>'Talnagögn | Numerical Data'!$D$27</f>
        <v>Fiskiskip</v>
      </c>
      <c r="E185" s="733" cm="1">
        <f t="array" ref="E185">INDEX('Talnagögn | Numerical Data'!$1:$1048576, _xlfn.XMATCH($A185,'Talnagögn | Numerical Data'!$A:$A), _xlfn.XMATCH($B$2,'Talnagögn | Numerical Data'!$25:$25))</f>
        <v>485.3352147538011</v>
      </c>
      <c r="F185" s="728"/>
      <c r="G185" s="98">
        <f>E185/$E$193</f>
        <v>0.27350604189348582</v>
      </c>
      <c r="H185" s="794" cm="1">
        <f t="array" ref="H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_xlfn.XMATCH($B$3,'Talnagögn | Numerical Data'!$25:$25))</f>
        <v>4.8347753176444712</v>
      </c>
      <c r="I185" s="795"/>
      <c r="J185" s="119" cm="1">
        <f t="array" ref="J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_xlfn.XMATCH($B$3,'Talnagögn | Numerical Data'!$25:$25))-1</f>
        <v>1.0061958160366702E-2</v>
      </c>
      <c r="K185" s="796" cm="1">
        <f t="array" ref="K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_xlfn.XMATCH($B$4,'Talnagögn | Numerical Data'!$25:$25))</f>
        <v>-256.94058220377826</v>
      </c>
      <c r="L185" s="797"/>
      <c r="M185" s="76" cm="1">
        <f t="array" ref="M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_xlfn.XMATCH($B$4,'Talnagögn | Numerical Data'!$25:$25))-1</f>
        <v>-0.34615244529987321</v>
      </c>
      <c r="N185" s="733" cm="1">
        <f t="array" ref="N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_xlfn.XMATCH($B$5,'Talnagögn | Numerical Data'!$25:$25))</f>
        <v>-275.10222240317694</v>
      </c>
      <c r="O185" s="728"/>
      <c r="P185" s="72" cm="1">
        <f t="array" ref="P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_xlfn.XMATCH($B$5,'Talnagögn | Numerical Data'!$25:$25))-1</f>
        <v>-0.36176838351316898</v>
      </c>
      <c r="Q185" s="343"/>
      <c r="R185" s="343"/>
      <c r="S185" s="8"/>
      <c r="T185" s="818"/>
      <c r="U185" s="818"/>
      <c r="V185" s="8"/>
      <c r="W185" s="818"/>
      <c r="X185" s="818"/>
      <c r="Y185" s="8"/>
      <c r="Z185" s="818"/>
      <c r="AA185" s="818"/>
      <c r="AC185" s="377"/>
      <c r="AE185" s="414"/>
      <c r="AF185" s="414" t="str">
        <f>'Talnagögn | Numerical Data'!$E$27</f>
        <v>Fishing</v>
      </c>
      <c r="AG185" s="733" cm="1">
        <f t="array" ref="AG185">INDEX('Talnagögn | Numerical Data'!$1:$1048576, _xlfn.XMATCH($A185,'Talnagögn | Numerical Data'!$A:$A), _xlfn.XMATCH($B$2,'Talnagögn | Numerical Data'!$25:$25))</f>
        <v>485.3352147538011</v>
      </c>
      <c r="AH185" s="728"/>
      <c r="AI185" s="98">
        <f>AG185/$E$193</f>
        <v>0.27350604189348582</v>
      </c>
      <c r="AJ185" s="794" cm="1">
        <f t="array" ref="AJ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_xlfn.XMATCH($B$3,'Talnagögn | Numerical Data'!$25:$25))</f>
        <v>4.8347753176444712</v>
      </c>
      <c r="AK185" s="795"/>
      <c r="AL185" s="119" cm="1">
        <f t="array" ref="AL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_xlfn.XMATCH($B$3,'Talnagögn | Numerical Data'!$25:$25))-1</f>
        <v>1.0061958160366702E-2</v>
      </c>
      <c r="AM185" s="796" cm="1">
        <f t="array" ref="AM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_xlfn.XMATCH($B$4,'Talnagögn | Numerical Data'!$25:$25))</f>
        <v>-256.94058220377826</v>
      </c>
      <c r="AN185" s="797"/>
      <c r="AO185" s="76" cm="1">
        <f t="array" ref="AO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_xlfn.XMATCH($B$4,'Talnagögn | Numerical Data'!$25:$25))-1</f>
        <v>-0.34615244529987321</v>
      </c>
      <c r="AP185" s="733" cm="1">
        <f t="array" ref="AP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_xlfn.XMATCH($B$5,'Talnagögn | Numerical Data'!$25:$25))</f>
        <v>-275.10222240317694</v>
      </c>
      <c r="AQ185" s="728"/>
      <c r="AR185" s="72" cm="1">
        <f t="array" ref="AR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_xlfn.XMATCH($B$5,'Talnagögn | Numerical Data'!$25:$25))-1</f>
        <v>-0.36176838351316898</v>
      </c>
    </row>
    <row r="186" spans="1:54" s="1" customFormat="1" ht="21" customHeight="1" x14ac:dyDescent="0.25">
      <c r="A186" s="251" t="s">
        <v>59</v>
      </c>
      <c r="C186" s="617" t="s">
        <v>56</v>
      </c>
      <c r="D186" s="533" t="str">
        <f>'Talnagögn | Numerical Data'!$D$28</f>
        <v>Vegasamgöngur</v>
      </c>
      <c r="E186" s="729" cm="1">
        <f t="array" ref="E186">INDEX('Talnagögn | Numerical Data'!$1:$1048576, _xlfn.XMATCH($A186,'Talnagögn | Numerical Data'!$A:$A), _xlfn.XMATCH($B$2,'Talnagögn | Numerical Data'!$25:$25))</f>
        <v>921.28481276391403</v>
      </c>
      <c r="F186" s="721"/>
      <c r="G186" s="44">
        <f t="shared" ref="G186:G193" si="6">E186/$E$193</f>
        <v>0.51918128941758568</v>
      </c>
      <c r="H186" s="788" cm="1">
        <f t="array" ref="H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_xlfn.XMATCH($B$3,'Talnagögn | Numerical Data'!$25:$25))</f>
        <v>-4.7274330148738954</v>
      </c>
      <c r="I186" s="789"/>
      <c r="J186" s="115" cm="1">
        <f t="array" ref="J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_xlfn.XMATCH($B$3,'Talnagögn | Numerical Data'!$25:$25))-1</f>
        <v>-5.1051517260423118E-3</v>
      </c>
      <c r="K186" s="729" cm="1">
        <f t="array" ref="K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_xlfn.XMATCH($B$4,'Talnagögn | Numerical Data'!$25:$25))</f>
        <v>146.297636004982</v>
      </c>
      <c r="L186" s="721"/>
      <c r="M186" s="44" cm="1">
        <f t="array" ref="M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_xlfn.XMATCH($B$4,'Talnagögn | Numerical Data'!$25:$25))-1</f>
        <v>0.18877426671343422</v>
      </c>
      <c r="N186" s="729" cm="1">
        <f t="array" ref="N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_xlfn.XMATCH($B$5,'Talnagögn | Numerical Data'!$25:$25))</f>
        <v>390.58388962762433</v>
      </c>
      <c r="O186" s="721"/>
      <c r="P186" s="8" cm="1">
        <f t="array" ref="P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_xlfn.XMATCH($B$5,'Talnagögn | Numerical Data'!$25:$25))-1</f>
        <v>0.73597740761290931</v>
      </c>
      <c r="Q186" s="343"/>
      <c r="R186" s="343"/>
      <c r="S186" s="8"/>
      <c r="T186" s="818"/>
      <c r="U186" s="818"/>
      <c r="V186" s="8"/>
      <c r="W186" s="818"/>
      <c r="X186" s="818"/>
      <c r="Y186" s="8"/>
      <c r="Z186" s="818"/>
      <c r="AA186" s="818"/>
      <c r="AC186" s="377"/>
      <c r="AE186" s="414"/>
      <c r="AF186" s="414" t="str">
        <f>'Talnagögn | Numerical Data'!$E$28</f>
        <v>Road Transport</v>
      </c>
      <c r="AG186" s="729" cm="1">
        <f t="array" ref="AG186">INDEX('Talnagögn | Numerical Data'!$1:$1048576, _xlfn.XMATCH($A186,'Talnagögn | Numerical Data'!$A:$A), _xlfn.XMATCH($B$2,'Talnagögn | Numerical Data'!$25:$25))</f>
        <v>921.28481276391403</v>
      </c>
      <c r="AH186" s="721"/>
      <c r="AI186" s="44">
        <f t="shared" ref="AI186:AI193" si="7">AG186/$E$193</f>
        <v>0.51918128941758568</v>
      </c>
      <c r="AJ186" s="788" cm="1">
        <f t="array" ref="AJ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_xlfn.XMATCH($B$3,'Talnagögn | Numerical Data'!$25:$25))</f>
        <v>-4.7274330148738954</v>
      </c>
      <c r="AK186" s="789"/>
      <c r="AL186" s="115" cm="1">
        <f t="array" ref="AL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_xlfn.XMATCH($B$3,'Talnagögn | Numerical Data'!$25:$25))-1</f>
        <v>-5.1051517260423118E-3</v>
      </c>
      <c r="AM186" s="729" cm="1">
        <f t="array" ref="AM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_xlfn.XMATCH($B$4,'Talnagögn | Numerical Data'!$25:$25))</f>
        <v>146.297636004982</v>
      </c>
      <c r="AN186" s="721"/>
      <c r="AO186" s="44" cm="1">
        <f t="array" ref="AO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_xlfn.XMATCH($B$4,'Talnagögn | Numerical Data'!$25:$25))-1</f>
        <v>0.18877426671343422</v>
      </c>
      <c r="AP186" s="729" cm="1">
        <f t="array" ref="AP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_xlfn.XMATCH($B$5,'Talnagögn | Numerical Data'!$25:$25))</f>
        <v>390.58388962762433</v>
      </c>
      <c r="AQ186" s="721"/>
      <c r="AR186" s="8" cm="1">
        <f t="array" ref="AR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_xlfn.XMATCH($B$5,'Talnagögn | Numerical Data'!$25:$25))-1</f>
        <v>0.73597740761290931</v>
      </c>
    </row>
    <row r="187" spans="1:54" s="1" customFormat="1" ht="21" customHeight="1" x14ac:dyDescent="0.25">
      <c r="A187" s="251" t="s">
        <v>60</v>
      </c>
      <c r="C187" s="617" t="s">
        <v>56</v>
      </c>
      <c r="D187" s="533" t="str">
        <f>'Talnagögn | Numerical Data'!$D$33</f>
        <v>Innanlandsflug</v>
      </c>
      <c r="E187" s="729" cm="1">
        <f t="array" ref="E187">INDEX('Talnagögn | Numerical Data'!$1:$1048576, _xlfn.XMATCH($A187,'Talnagögn | Numerical Data'!$A:$A), _xlfn.XMATCH($B$2,'Talnagögn | Numerical Data'!$25:$25))</f>
        <v>22.510975184533333</v>
      </c>
      <c r="F187" s="721"/>
      <c r="G187" s="52">
        <f t="shared" si="6"/>
        <v>1.2685845853998942E-2</v>
      </c>
      <c r="H187" s="788" cm="1">
        <f t="array" ref="H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-1.7577086840000042</v>
      </c>
      <c r="I187" s="789"/>
      <c r="J187" s="52" cm="1">
        <f t="array" ref="J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-7.242702956294389E-2</v>
      </c>
      <c r="K187" s="737" cm="1">
        <f t="array" ref="K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-3.6944665271999995</v>
      </c>
      <c r="L187" s="738"/>
      <c r="M187" s="44" cm="1">
        <f t="array" ref="M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-0.14098089121488933</v>
      </c>
      <c r="N187" s="729" cm="1">
        <f t="array" ref="N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-11.081714074933334</v>
      </c>
      <c r="O187" s="721"/>
      <c r="P187" s="8" cm="1">
        <f t="array" ref="P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-0.32988469572469326</v>
      </c>
      <c r="Q187" s="343"/>
      <c r="R187" s="343"/>
      <c r="S187" s="8"/>
      <c r="T187" s="818"/>
      <c r="U187" s="818"/>
      <c r="V187" s="8"/>
      <c r="W187" s="818"/>
      <c r="X187" s="818"/>
      <c r="Y187" s="8"/>
      <c r="Z187" s="818"/>
      <c r="AA187" s="818"/>
      <c r="AC187" s="377"/>
      <c r="AE187" s="414"/>
      <c r="AF187" s="414" t="str">
        <f>'Talnagögn | Numerical Data'!$E$33</f>
        <v>Domestic Aviation</v>
      </c>
      <c r="AG187" s="729" cm="1">
        <f t="array" ref="AG187">INDEX('Talnagögn | Numerical Data'!$1:$1048576, _xlfn.XMATCH($A187,'Talnagögn | Numerical Data'!$A:$A), _xlfn.XMATCH($B$2,'Talnagögn | Numerical Data'!$25:$25))</f>
        <v>22.510975184533333</v>
      </c>
      <c r="AH187" s="721"/>
      <c r="AI187" s="52">
        <f t="shared" si="7"/>
        <v>1.2685845853998942E-2</v>
      </c>
      <c r="AJ187" s="788" cm="1">
        <f t="array" ref="AJ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-1.7577086840000042</v>
      </c>
      <c r="AK187" s="789"/>
      <c r="AL187" s="52" cm="1">
        <f t="array" ref="AL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-7.242702956294389E-2</v>
      </c>
      <c r="AM187" s="737" cm="1">
        <f t="array" ref="AM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-3.6944665271999995</v>
      </c>
      <c r="AN187" s="738"/>
      <c r="AO187" s="44" cm="1">
        <f t="array" ref="AO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-0.14098089121488933</v>
      </c>
      <c r="AP187" s="729" cm="1">
        <f t="array" ref="AP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-11.081714074933334</v>
      </c>
      <c r="AQ187" s="721"/>
      <c r="AR187" s="8" cm="1">
        <f t="array" ref="AR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-0.32988469572469326</v>
      </c>
    </row>
    <row r="188" spans="1:54" s="1" customFormat="1" ht="21" customHeight="1" x14ac:dyDescent="0.25">
      <c r="A188" s="251" t="s">
        <v>61</v>
      </c>
      <c r="C188" s="617" t="s">
        <v>56</v>
      </c>
      <c r="D188" s="533" t="str">
        <f>'Talnagögn | Numerical Data'!$D$34</f>
        <v>Strandsiglingar</v>
      </c>
      <c r="E188" s="729" cm="1">
        <f t="array" ref="E188">INDEX('Talnagögn | Numerical Data'!$1:$1048576, _xlfn.XMATCH($A188,'Talnagögn | Numerical Data'!$A:$A), _xlfn.XMATCH($B$2,'Talnagögn | Numerical Data'!$25:$25))</f>
        <v>16.847724414769708</v>
      </c>
      <c r="F188" s="721"/>
      <c r="G188" s="115">
        <f t="shared" si="6"/>
        <v>9.4943747733891772E-3</v>
      </c>
      <c r="H188" s="788" cm="1">
        <f t="array" ref="H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-7.6952468259236468</v>
      </c>
      <c r="I188" s="789"/>
      <c r="J188" s="44" cm="1">
        <f t="array" ref="J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-0.31354177741791023</v>
      </c>
      <c r="K188" s="737" cm="1">
        <f t="array" ref="K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-5.7551245463357965</v>
      </c>
      <c r="L188" s="738"/>
      <c r="M188" s="44" cm="1">
        <f t="array" ref="M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-0.25461943121590958</v>
      </c>
      <c r="N188" s="729" cm="1">
        <f t="array" ref="N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-16.058283051900013</v>
      </c>
      <c r="O188" s="721"/>
      <c r="P188" s="8" cm="1">
        <f t="array" ref="P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-0.48800460123171563</v>
      </c>
      <c r="Q188" s="343"/>
      <c r="R188" s="343"/>
      <c r="S188" s="8"/>
      <c r="T188" s="818"/>
      <c r="U188" s="818"/>
      <c r="V188" s="8"/>
      <c r="W188" s="818"/>
      <c r="X188" s="818"/>
      <c r="Y188" s="8"/>
      <c r="Z188" s="818"/>
      <c r="AA188" s="818"/>
      <c r="AC188" s="377"/>
      <c r="AE188" s="414"/>
      <c r="AF188" s="414" t="str">
        <f>'Talnagögn | Numerical Data'!$E$34</f>
        <v>Domestic Navigation</v>
      </c>
      <c r="AG188" s="729" cm="1">
        <f t="array" ref="AG188">INDEX('Talnagögn | Numerical Data'!$1:$1048576, _xlfn.XMATCH($A188,'Talnagögn | Numerical Data'!$A:$A), _xlfn.XMATCH($B$2,'Talnagögn | Numerical Data'!$25:$25))</f>
        <v>16.847724414769708</v>
      </c>
      <c r="AH188" s="721"/>
      <c r="AI188" s="115">
        <f t="shared" si="7"/>
        <v>9.4943747733891772E-3</v>
      </c>
      <c r="AJ188" s="788" cm="1">
        <f t="array" ref="AJ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-7.6952468259236468</v>
      </c>
      <c r="AK188" s="789"/>
      <c r="AL188" s="44" cm="1">
        <f t="array" ref="AL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-0.31354177741791023</v>
      </c>
      <c r="AM188" s="737" cm="1">
        <f t="array" ref="AM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-5.7551245463357965</v>
      </c>
      <c r="AN188" s="738"/>
      <c r="AO188" s="44" cm="1">
        <f t="array" ref="AO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-0.25461943121590958</v>
      </c>
      <c r="AP188" s="729" cm="1">
        <f t="array" ref="AP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-16.058283051900013</v>
      </c>
      <c r="AQ188" s="721"/>
      <c r="AR188" s="8" cm="1">
        <f t="array" ref="AR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-0.48800460123171563</v>
      </c>
    </row>
    <row r="189" spans="1:54" s="1" customFormat="1" ht="21" customHeight="1" x14ac:dyDescent="0.25">
      <c r="A189" s="251" t="s">
        <v>109</v>
      </c>
      <c r="B189" s="5" t="s">
        <v>56</v>
      </c>
      <c r="C189" s="617" t="s">
        <v>56</v>
      </c>
      <c r="D189" s="533" t="str">
        <f>'Talnagögn | Numerical Data'!$D$35</f>
        <v>Vélar og tæki</v>
      </c>
      <c r="E189" s="729" cm="1">
        <f t="array" ref="E189">INDEX('Talnagögn | Numerical Data'!$1:$1048576, _xlfn.XMATCH($A189,'Talnagögn | Numerical Data'!$A:$A), _xlfn.XMATCH($B$2,'Talnagögn | Numerical Data'!$25:$25))</f>
        <v>74.887888616357046</v>
      </c>
      <c r="F189" s="721"/>
      <c r="G189" s="52">
        <f t="shared" si="6"/>
        <v>4.2202357007228963E-2</v>
      </c>
      <c r="H189" s="786" cm="1">
        <f t="array" ref="H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15.433234692825003</v>
      </c>
      <c r="I189" s="787"/>
      <c r="J189" s="44" cm="1">
        <f t="array" ref="J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0.25957992645410988</v>
      </c>
      <c r="K189" s="729" cm="1">
        <f t="array" ref="K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-162.00465500113825</v>
      </c>
      <c r="L189" s="721"/>
      <c r="M189" s="44" cm="1">
        <f t="array" ref="M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-0.68387401531186764</v>
      </c>
      <c r="N189" s="729" cm="1">
        <f t="array" ref="N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-57.811673190103349</v>
      </c>
      <c r="O189" s="721"/>
      <c r="P189" s="8" cm="1">
        <f t="array" ref="P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-0.43565835789586471</v>
      </c>
      <c r="Q189" s="343"/>
      <c r="R189" s="343"/>
      <c r="S189" s="8"/>
      <c r="T189" s="818"/>
      <c r="U189" s="818"/>
      <c r="V189" s="8"/>
      <c r="W189" s="818"/>
      <c r="X189" s="818"/>
      <c r="Y189" s="8"/>
      <c r="Z189" s="818"/>
      <c r="AA189" s="818"/>
      <c r="AC189" s="377"/>
      <c r="AE189" s="414"/>
      <c r="AF189" s="414" t="str">
        <f>'Talnagögn | Numerical Data'!$E$35</f>
        <v>Off-Road Vehicles and Other Machinery</v>
      </c>
      <c r="AG189" s="729" cm="1">
        <f t="array" ref="AG189">INDEX('Talnagögn | Numerical Data'!$1:$1048576, _xlfn.XMATCH($A189,'Talnagögn | Numerical Data'!$A:$A), _xlfn.XMATCH($B$2,'Talnagögn | Numerical Data'!$25:$25))</f>
        <v>74.887888616357046</v>
      </c>
      <c r="AH189" s="721"/>
      <c r="AI189" s="52">
        <f t="shared" si="7"/>
        <v>4.2202357007228963E-2</v>
      </c>
      <c r="AJ189" s="786" cm="1">
        <f t="array" ref="AJ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15.433234692825003</v>
      </c>
      <c r="AK189" s="787"/>
      <c r="AL189" s="44" cm="1">
        <f t="array" ref="AL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0.25957992645410988</v>
      </c>
      <c r="AM189" s="729" cm="1">
        <f t="array" ref="AM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-162.00465500113825</v>
      </c>
      <c r="AN189" s="721"/>
      <c r="AO189" s="44" cm="1">
        <f t="array" ref="AO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-0.68387401531186764</v>
      </c>
      <c r="AP189" s="729" cm="1">
        <f t="array" ref="AP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-57.811673190103349</v>
      </c>
      <c r="AQ189" s="721"/>
      <c r="AR189" s="8" cm="1">
        <f t="array" ref="AR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-0.43565835789586471</v>
      </c>
    </row>
    <row r="190" spans="1:54" s="1" customFormat="1" ht="21" customHeight="1" x14ac:dyDescent="0.25">
      <c r="A190" s="251" t="s">
        <v>120</v>
      </c>
      <c r="B190" s="5" t="s">
        <v>56</v>
      </c>
      <c r="C190" s="617" t="s">
        <v>56</v>
      </c>
      <c r="D190" s="533" t="str">
        <f>'Talnagögn | Numerical Data'!$D$39</f>
        <v>Eldsneytisbruni vegna staðbundins iðnaðar</v>
      </c>
      <c r="E190" s="729" cm="1">
        <f t="array" ref="E190">INDEX('Talnagögn | Numerical Data'!$1:$1048576, _xlfn.XMATCH($A190,'Talnagögn | Numerical Data'!$A:$A), _xlfn.XMATCH($B$2,'Talnagögn | Numerical Data'!$25:$25))</f>
        <v>56.87537960665744</v>
      </c>
      <c r="F190" s="721"/>
      <c r="G190" s="52">
        <f t="shared" si="6"/>
        <v>3.2051578959291928E-2</v>
      </c>
      <c r="H190" s="786" cm="1">
        <f t="array" ref="H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-38.451501826775903</v>
      </c>
      <c r="I190" s="787"/>
      <c r="J190" s="44" cm="1">
        <f t="array" ref="J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-0.40336473037384046</v>
      </c>
      <c r="K190" s="729" cm="1">
        <f t="array" ref="K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-128.28568657993233</v>
      </c>
      <c r="L190" s="721"/>
      <c r="M190" s="44" cm="1">
        <f t="array" ref="M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-0.69283294389035754</v>
      </c>
      <c r="N190" s="729" cm="1">
        <f t="array" ref="N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-181.42661686722911</v>
      </c>
      <c r="O190" s="721"/>
      <c r="P190" s="8" cm="1">
        <f t="array" ref="P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-0.76133066257004722</v>
      </c>
      <c r="Q190" s="343"/>
      <c r="R190" s="343"/>
      <c r="S190" s="8"/>
      <c r="T190" s="818"/>
      <c r="U190" s="818"/>
      <c r="V190" s="8"/>
      <c r="W190" s="818"/>
      <c r="X190" s="818"/>
      <c r="Y190" s="8"/>
      <c r="Z190" s="818"/>
      <c r="AA190" s="818"/>
      <c r="AC190" s="377"/>
      <c r="AE190" s="414"/>
      <c r="AF190" s="414" t="str">
        <f>'Talnagögn | Numerical Data'!$E$39</f>
        <v>Fuel Combustion in Stationary Industry</v>
      </c>
      <c r="AG190" s="729" cm="1">
        <f t="array" ref="AG190">INDEX('Talnagögn | Numerical Data'!$1:$1048576, _xlfn.XMATCH($A190,'Talnagögn | Numerical Data'!$A:$A), _xlfn.XMATCH($B$2,'Talnagögn | Numerical Data'!$25:$25))</f>
        <v>56.87537960665744</v>
      </c>
      <c r="AH190" s="721"/>
      <c r="AI190" s="52">
        <f t="shared" si="7"/>
        <v>3.2051578959291928E-2</v>
      </c>
      <c r="AJ190" s="786" cm="1">
        <f t="array" ref="AJ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-38.451501826775903</v>
      </c>
      <c r="AK190" s="787"/>
      <c r="AL190" s="44" cm="1">
        <f t="array" ref="AL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-0.40336473037384046</v>
      </c>
      <c r="AM190" s="729" cm="1">
        <f t="array" ref="AM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-128.28568657993233</v>
      </c>
      <c r="AN190" s="721"/>
      <c r="AO190" s="44" cm="1">
        <f t="array" ref="AO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-0.69283294389035754</v>
      </c>
      <c r="AP190" s="729" cm="1">
        <f t="array" ref="AP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-181.42661686722911</v>
      </c>
      <c r="AQ190" s="721"/>
      <c r="AR190" s="8" cm="1">
        <f t="array" ref="AR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-0.76133066257004722</v>
      </c>
    </row>
    <row r="191" spans="1:54" s="1" customFormat="1" ht="21" customHeight="1" x14ac:dyDescent="0.25">
      <c r="A191" s="211" t="s">
        <v>63</v>
      </c>
      <c r="B191" s="5" t="s">
        <v>56</v>
      </c>
      <c r="C191" s="617" t="s">
        <v>56</v>
      </c>
      <c r="D191" s="536" t="str">
        <f>'Talnagögn | Numerical Data'!$D$40</f>
        <v>Jarðvarmavirkjanir</v>
      </c>
      <c r="E191" s="729" cm="1">
        <f t="array" ref="E191">INDEX('Talnagögn | Numerical Data'!$1:$1048576, _xlfn.XMATCH($A191,'Talnagögn | Numerical Data'!$A:$A), _xlfn.XMATCH($B$2,'Talnagögn | Numerical Data'!$25:$25))</f>
        <v>176.69460000000001</v>
      </c>
      <c r="F191" s="721"/>
      <c r="G191" s="44">
        <f t="shared" si="6"/>
        <v>9.9574560429265102E-2</v>
      </c>
      <c r="H191" s="788" cm="1">
        <f t="array" ref="H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-1.4491846135524611</v>
      </c>
      <c r="I191" s="789"/>
      <c r="J191" s="115" cm="1">
        <f t="array" ref="J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-8.1349153813936592E-3</v>
      </c>
      <c r="K191" s="729" cm="1">
        <f t="array" ref="K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57.257206693838583</v>
      </c>
      <c r="L191" s="721"/>
      <c r="M191" s="44" cm="1">
        <f t="array" ref="M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0.47939096047640262</v>
      </c>
      <c r="N191" s="729" cm="1">
        <f t="array" ref="N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115.12026564245417</v>
      </c>
      <c r="O191" s="721"/>
      <c r="P191" s="8" cm="1">
        <f t="array" ref="P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1.8696144561463108</v>
      </c>
      <c r="Q191" s="535"/>
      <c r="S191" s="8"/>
      <c r="T191" s="818"/>
      <c r="U191" s="818"/>
      <c r="V191" s="8"/>
      <c r="W191" s="818"/>
      <c r="X191" s="818"/>
      <c r="Y191" s="8"/>
      <c r="Z191" s="818"/>
      <c r="AA191" s="818"/>
      <c r="AC191" s="377"/>
      <c r="AE191" s="414"/>
      <c r="AF191" s="414" t="str">
        <f>'Talnagögn | Numerical Data'!$E$40</f>
        <v>Geothermal Energy</v>
      </c>
      <c r="AG191" s="729" cm="1">
        <f t="array" ref="AG191">INDEX('Talnagögn | Numerical Data'!$1:$1048576, _xlfn.XMATCH($A191,'Talnagögn | Numerical Data'!$A:$A), _xlfn.XMATCH($B$2,'Talnagögn | Numerical Data'!$25:$25))</f>
        <v>176.69460000000001</v>
      </c>
      <c r="AH191" s="721"/>
      <c r="AI191" s="44">
        <f t="shared" si="7"/>
        <v>9.9574560429265102E-2</v>
      </c>
      <c r="AJ191" s="788" cm="1">
        <f t="array" ref="AJ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-1.4491846135524611</v>
      </c>
      <c r="AK191" s="789"/>
      <c r="AL191" s="115" cm="1">
        <f t="array" ref="AL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-8.1349153813936592E-3</v>
      </c>
      <c r="AM191" s="729" cm="1">
        <f t="array" ref="AM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57.257206693838583</v>
      </c>
      <c r="AN191" s="721"/>
      <c r="AO191" s="44" cm="1">
        <f t="array" ref="AO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0.47939096047640262</v>
      </c>
      <c r="AP191" s="729" cm="1">
        <f t="array" ref="AP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115.12026564245417</v>
      </c>
      <c r="AQ191" s="721"/>
      <c r="AR191" s="8" cm="1">
        <f t="array" ref="AR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1.8696144561463108</v>
      </c>
    </row>
    <row r="192" spans="1:54" s="1" customFormat="1" ht="21" customHeight="1" x14ac:dyDescent="0.25">
      <c r="A192" s="251" t="s">
        <v>119</v>
      </c>
      <c r="B192" s="5" t="s">
        <v>56</v>
      </c>
      <c r="C192" s="617" t="s">
        <v>56</v>
      </c>
      <c r="D192" s="60" t="str">
        <f>'Talnagögn | Numerical Data'!$D$41</f>
        <v>Annað</v>
      </c>
      <c r="E192" s="743" cm="1">
        <f t="array" ref="E192">INDEX('Talnagögn | Numerical Data'!$1:$1048576, _xlfn.XMATCH($A192,'Talnagögn | Numerical Data'!$A:$A), _xlfn.XMATCH($B$2,'Talnagögn | Numerical Data'!$25:$25))</f>
        <v>20.058810296417278</v>
      </c>
      <c r="F192" s="744"/>
      <c r="G192" s="105">
        <f t="shared" si="6"/>
        <v>1.1303951665754174E-2</v>
      </c>
      <c r="H192" s="790" cm="1">
        <f t="array" ref="H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1.2607809708297282</v>
      </c>
      <c r="I192" s="791"/>
      <c r="J192" s="105" cm="1">
        <f t="array" ref="J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6.7069848067189408E-2</v>
      </c>
      <c r="K192" s="743" cm="1">
        <f t="array" ref="K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-30.88689142490216</v>
      </c>
      <c r="L192" s="744"/>
      <c r="M192" s="101" cm="1">
        <f t="array" ref="M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-0.60627080168329117</v>
      </c>
      <c r="N192" s="743" cm="1">
        <f t="array" ref="N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-30.283408742939173</v>
      </c>
      <c r="O192" s="744"/>
      <c r="P192" s="99" cm="1">
        <f t="array" ref="P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-0.60155093122264369</v>
      </c>
      <c r="Q192" s="535"/>
      <c r="S192" s="8"/>
      <c r="T192" s="818"/>
      <c r="U192" s="818"/>
      <c r="V192" s="8"/>
      <c r="W192" s="818"/>
      <c r="X192" s="818"/>
      <c r="Y192" s="8"/>
      <c r="Z192" s="818"/>
      <c r="AA192" s="818"/>
      <c r="AC192" s="377"/>
      <c r="AE192" s="414"/>
      <c r="AF192" s="60" t="str">
        <f>'Talnagögn | Numerical Data'!$E$41</f>
        <v>Other Emissions</v>
      </c>
      <c r="AG192" s="743" cm="1">
        <f t="array" ref="AG192">INDEX('Talnagögn | Numerical Data'!$1:$1048576, _xlfn.XMATCH($A192,'Talnagögn | Numerical Data'!$A:$A), _xlfn.XMATCH($B$2,'Talnagögn | Numerical Data'!$25:$25))</f>
        <v>20.058810296417278</v>
      </c>
      <c r="AH192" s="744"/>
      <c r="AI192" s="105">
        <f t="shared" si="7"/>
        <v>1.1303951665754174E-2</v>
      </c>
      <c r="AJ192" s="790" cm="1">
        <f t="array" ref="AJ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1.2607809708297282</v>
      </c>
      <c r="AK192" s="791"/>
      <c r="AL192" s="105" cm="1">
        <f t="array" ref="AL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6.7069848067189408E-2</v>
      </c>
      <c r="AM192" s="743" cm="1">
        <f t="array" ref="AM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-30.88689142490216</v>
      </c>
      <c r="AN192" s="744"/>
      <c r="AO192" s="101" cm="1">
        <f t="array" ref="AO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-0.60627080168329117</v>
      </c>
      <c r="AP192" s="743" cm="1">
        <f t="array" ref="AP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-30.283408742939173</v>
      </c>
      <c r="AQ192" s="744"/>
      <c r="AR192" s="99" cm="1">
        <f t="array" ref="AR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-0.60155093122264369</v>
      </c>
    </row>
    <row r="193" spans="1:44" ht="30" customHeight="1" x14ac:dyDescent="0.25">
      <c r="A193" s="261" t="s">
        <v>50</v>
      </c>
      <c r="B193" s="5" t="s">
        <v>56</v>
      </c>
      <c r="C193" s="617" t="s">
        <v>56</v>
      </c>
      <c r="D193" s="60" t="s">
        <v>13</v>
      </c>
      <c r="E193" s="710" cm="1">
        <f t="array" ref="E193">INDEX('Talnagögn | Numerical Data'!$1:$1048576, _xlfn.XMATCH($A193,'Talnagögn | Numerical Data'!$A:$A), _xlfn.XMATCH($B$2,'Talnagögn | Numerical Data'!$25:$25))</f>
        <v>1774.4954056364502</v>
      </c>
      <c r="F193" s="711"/>
      <c r="G193" s="47">
        <f t="shared" si="6"/>
        <v>1</v>
      </c>
      <c r="H193" s="710" cm="1">
        <f t="array" ref="H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-32.552283983826555</v>
      </c>
      <c r="I193" s="711"/>
      <c r="J193" s="53" cm="1">
        <f t="array" ref="J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-1.801407022670598E-2</v>
      </c>
      <c r="K193" s="710" cm="1">
        <f t="array" ref="K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-384.01256358446585</v>
      </c>
      <c r="L193" s="711"/>
      <c r="M193" s="47" cm="1">
        <f t="array" ref="M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-0.17790648404373044</v>
      </c>
      <c r="N193" s="710" cm="1">
        <f t="array" ref="N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-66.059763060203295</v>
      </c>
      <c r="O193" s="711"/>
      <c r="P193" s="54" cm="1">
        <f t="array" ref="P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-3.5891215967724599E-2</v>
      </c>
      <c r="S193" s="8"/>
      <c r="T193" s="712"/>
      <c r="U193" s="712"/>
      <c r="V193" s="12"/>
      <c r="W193" s="712"/>
      <c r="X193" s="712"/>
      <c r="Y193" s="12"/>
      <c r="Z193" s="712"/>
      <c r="AA193" s="712"/>
      <c r="AC193" s="383"/>
      <c r="AF193" s="46" t="s">
        <v>211</v>
      </c>
      <c r="AG193" s="710" cm="1">
        <f t="array" ref="AG193">INDEX('Talnagögn | Numerical Data'!$1:$1048576, _xlfn.XMATCH($A193,'Talnagögn | Numerical Data'!$A:$A), _xlfn.XMATCH($B$2,'Talnagögn | Numerical Data'!$25:$25))</f>
        <v>1774.4954056364502</v>
      </c>
      <c r="AH193" s="711"/>
      <c r="AI193" s="47">
        <f t="shared" si="7"/>
        <v>1</v>
      </c>
      <c r="AJ193" s="710" cm="1">
        <f t="array" ref="AJ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-32.552283983826555</v>
      </c>
      <c r="AK193" s="711"/>
      <c r="AL193" s="53" cm="1">
        <f t="array" ref="AL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-1.801407022670598E-2</v>
      </c>
      <c r="AM193" s="710" cm="1">
        <f t="array" ref="AM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-384.01256358446585</v>
      </c>
      <c r="AN193" s="711"/>
      <c r="AO193" s="47" cm="1">
        <f t="array" ref="AO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-0.17790648404373044</v>
      </c>
      <c r="AP193" s="710" cm="1">
        <f t="array" ref="AP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-66.059763060203295</v>
      </c>
      <c r="AQ193" s="711"/>
      <c r="AR193" s="54" cm="1">
        <f t="array" ref="AR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-3.5891215967724599E-2</v>
      </c>
    </row>
    <row r="194" spans="1:44" s="1" customFormat="1" ht="13.5" customHeight="1" x14ac:dyDescent="0.25">
      <c r="A194" s="262"/>
      <c r="B194" s="5"/>
      <c r="C194" s="617" t="s">
        <v>56</v>
      </c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720"/>
      <c r="R194" s="720"/>
      <c r="S194" s="12"/>
      <c r="T194" s="12"/>
      <c r="U194" s="12"/>
      <c r="V194" s="12"/>
      <c r="W194" s="12"/>
      <c r="X194" s="12"/>
      <c r="Y194" s="12"/>
      <c r="Z194" s="13"/>
      <c r="AA194" s="14"/>
      <c r="AB194" s="14"/>
      <c r="AC194" s="380"/>
      <c r="AD194" s="14"/>
      <c r="AE194" s="414"/>
      <c r="AF194" s="14"/>
      <c r="AG194" s="14"/>
      <c r="AH194" s="14"/>
      <c r="AI194" s="14"/>
      <c r="AJ194" s="15"/>
    </row>
    <row r="195" spans="1:44" s="1" customFormat="1" ht="13.5" customHeight="1" x14ac:dyDescent="0.25">
      <c r="A195" s="262"/>
      <c r="B195" s="5"/>
      <c r="C195" s="617" t="s">
        <v>56</v>
      </c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720"/>
      <c r="R195" s="720"/>
      <c r="S195" s="12"/>
      <c r="T195" s="12"/>
      <c r="U195" s="12"/>
      <c r="V195" s="12"/>
      <c r="W195" s="12"/>
      <c r="X195" s="12"/>
      <c r="Y195" s="12"/>
      <c r="Z195" s="13"/>
      <c r="AA195" s="14"/>
      <c r="AB195" s="14"/>
      <c r="AC195" s="380"/>
      <c r="AD195" s="14"/>
      <c r="AE195" s="414"/>
      <c r="AF195" s="14"/>
      <c r="AG195" s="14"/>
      <c r="AH195" s="14"/>
      <c r="AI195" s="14"/>
      <c r="AJ195" s="15"/>
    </row>
    <row r="196" spans="1:44" s="1" customFormat="1" ht="13.5" customHeight="1" x14ac:dyDescent="0.25">
      <c r="A196" s="262"/>
      <c r="B196" s="5"/>
      <c r="C196" s="617" t="s">
        <v>56</v>
      </c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S196" s="12"/>
      <c r="T196" s="12"/>
      <c r="U196" s="12"/>
      <c r="V196" s="12"/>
      <c r="W196" s="12"/>
      <c r="X196" s="12"/>
      <c r="Y196" s="12"/>
      <c r="Z196" s="13"/>
      <c r="AA196" s="14"/>
      <c r="AB196" s="14"/>
      <c r="AC196" s="380"/>
      <c r="AD196" s="14"/>
      <c r="AF196" s="14"/>
      <c r="AG196" s="14"/>
      <c r="AH196" s="14"/>
      <c r="AI196" s="14"/>
      <c r="AJ196" s="15"/>
    </row>
    <row r="197" spans="1:44" s="1" customFormat="1" ht="13.5" customHeight="1" x14ac:dyDescent="0.25">
      <c r="A197" s="262"/>
      <c r="B197" s="5"/>
      <c r="C197" s="617" t="s">
        <v>56</v>
      </c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720"/>
      <c r="R197" s="720"/>
      <c r="S197" s="12"/>
      <c r="T197" s="12"/>
      <c r="U197" s="12"/>
      <c r="V197" s="12"/>
      <c r="W197" s="12"/>
      <c r="X197" s="12"/>
      <c r="Y197" s="12"/>
      <c r="Z197" s="13"/>
      <c r="AA197" s="14"/>
      <c r="AB197" s="14"/>
      <c r="AC197" s="380"/>
      <c r="AD197" s="14"/>
      <c r="AE197" s="414"/>
      <c r="AF197" s="14"/>
      <c r="AG197" s="14"/>
      <c r="AH197" s="14"/>
      <c r="AI197" s="14"/>
      <c r="AJ197" s="15"/>
    </row>
    <row r="198" spans="1:44" s="1" customFormat="1" ht="13.5" customHeight="1" x14ac:dyDescent="0.25">
      <c r="A198" s="262"/>
      <c r="B198" s="5"/>
      <c r="C198" s="617" t="s">
        <v>56</v>
      </c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720"/>
      <c r="R198" s="720"/>
      <c r="S198" s="12"/>
      <c r="T198" s="12"/>
      <c r="U198" s="12"/>
      <c r="V198" s="12"/>
      <c r="W198" s="12"/>
      <c r="X198" s="12"/>
      <c r="Y198" s="12"/>
      <c r="Z198" s="13"/>
      <c r="AA198" s="14"/>
      <c r="AB198" s="14"/>
      <c r="AC198" s="380"/>
      <c r="AD198" s="14"/>
      <c r="AE198" s="414"/>
      <c r="AF198" s="14"/>
      <c r="AG198" s="14"/>
      <c r="AH198" s="14"/>
      <c r="AI198" s="14"/>
      <c r="AJ198" s="15"/>
    </row>
    <row r="199" spans="1:44" s="1" customFormat="1" ht="13.5" customHeight="1" x14ac:dyDescent="0.25">
      <c r="A199" s="262"/>
      <c r="B199" s="5"/>
      <c r="C199" s="617" t="s">
        <v>56</v>
      </c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720"/>
      <c r="R199" s="720"/>
      <c r="S199" s="12"/>
      <c r="T199" s="12"/>
      <c r="U199" s="12"/>
      <c r="V199" s="12"/>
      <c r="W199" s="12"/>
      <c r="X199" s="12"/>
      <c r="Y199" s="12"/>
      <c r="Z199" s="13"/>
      <c r="AA199" s="14"/>
      <c r="AB199" s="14"/>
      <c r="AC199" s="380"/>
      <c r="AD199" s="14"/>
      <c r="AF199" s="14"/>
      <c r="AG199" s="14"/>
      <c r="AH199" s="14"/>
      <c r="AI199" s="14"/>
      <c r="AJ199" s="15"/>
    </row>
    <row r="200" spans="1:44" s="1" customFormat="1" ht="13.5" customHeight="1" x14ac:dyDescent="0.25">
      <c r="A200" s="262"/>
      <c r="B200" s="5"/>
      <c r="C200" s="617" t="s">
        <v>56</v>
      </c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534"/>
      <c r="R200" s="534"/>
      <c r="S200" s="12"/>
      <c r="T200" s="12"/>
      <c r="U200" s="12"/>
      <c r="V200" s="12"/>
      <c r="W200" s="12"/>
      <c r="X200" s="12"/>
      <c r="Y200" s="12"/>
      <c r="Z200" s="13"/>
      <c r="AA200" s="14"/>
      <c r="AB200" s="14"/>
      <c r="AC200" s="380"/>
      <c r="AD200" s="14"/>
      <c r="AF200" s="14"/>
      <c r="AG200" s="14"/>
      <c r="AH200" s="14"/>
      <c r="AI200" s="14"/>
      <c r="AJ200" s="15"/>
    </row>
    <row r="201" spans="1:44" s="1" customFormat="1" ht="13.5" customHeight="1" x14ac:dyDescent="0.25">
      <c r="A201" s="262"/>
      <c r="C201" s="617" t="s">
        <v>56</v>
      </c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3"/>
      <c r="AA201" s="14"/>
      <c r="AB201" s="14"/>
      <c r="AC201" s="380"/>
      <c r="AD201" s="14"/>
      <c r="AE201" s="414"/>
      <c r="AF201" s="14"/>
      <c r="AG201" s="14"/>
      <c r="AH201" s="14"/>
      <c r="AI201" s="14"/>
      <c r="AJ201" s="15"/>
    </row>
    <row r="202" spans="1:44" s="1" customFormat="1" ht="13.5" customHeight="1" x14ac:dyDescent="0.25">
      <c r="A202" s="262"/>
      <c r="C202" s="617" t="s">
        <v>56</v>
      </c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3"/>
      <c r="AA202" s="14"/>
      <c r="AB202" s="14"/>
      <c r="AC202" s="380"/>
      <c r="AD202" s="14"/>
      <c r="AE202" s="414"/>
      <c r="AF202" s="14"/>
      <c r="AG202" s="14"/>
      <c r="AH202" s="14"/>
      <c r="AI202" s="14"/>
      <c r="AJ202" s="15"/>
    </row>
    <row r="203" spans="1:44" s="1" customFormat="1" ht="13.5" customHeight="1" x14ac:dyDescent="0.25">
      <c r="A203" s="262"/>
      <c r="C203" s="617" t="s">
        <v>56</v>
      </c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3"/>
      <c r="AA203" s="14"/>
      <c r="AB203" s="14"/>
      <c r="AC203" s="380"/>
      <c r="AD203" s="14"/>
      <c r="AE203" s="414"/>
      <c r="AF203" s="14"/>
      <c r="AG203" s="14"/>
      <c r="AH203" s="14"/>
      <c r="AI203" s="14"/>
      <c r="AJ203" s="15"/>
    </row>
    <row r="204" spans="1:44" s="1" customFormat="1" ht="13.5" customHeight="1" x14ac:dyDescent="0.25">
      <c r="A204" s="262"/>
      <c r="C204" s="617" t="s">
        <v>56</v>
      </c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3"/>
      <c r="AA204" s="14"/>
      <c r="AB204" s="14"/>
      <c r="AC204" s="380"/>
      <c r="AD204" s="14"/>
      <c r="AE204" s="414"/>
      <c r="AF204" s="14"/>
      <c r="AG204" s="14"/>
      <c r="AH204" s="14"/>
      <c r="AI204" s="14"/>
      <c r="AJ204" s="15"/>
    </row>
    <row r="205" spans="1:44" s="1" customFormat="1" ht="13.5" customHeight="1" x14ac:dyDescent="0.25">
      <c r="A205" s="262"/>
      <c r="C205" s="617" t="s">
        <v>56</v>
      </c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3"/>
      <c r="AA205" s="14"/>
      <c r="AB205" s="14"/>
      <c r="AC205" s="380"/>
      <c r="AD205" s="14"/>
      <c r="AE205" s="414"/>
      <c r="AF205" s="14"/>
      <c r="AG205" s="14"/>
      <c r="AH205" s="14"/>
      <c r="AI205" s="14"/>
      <c r="AJ205" s="15"/>
    </row>
    <row r="206" spans="1:44" s="1" customFormat="1" ht="13.5" customHeight="1" x14ac:dyDescent="0.25">
      <c r="A206" s="262"/>
      <c r="B206" s="5"/>
      <c r="C206" s="617" t="s">
        <v>56</v>
      </c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3"/>
      <c r="AA206" s="14"/>
      <c r="AB206" s="14"/>
      <c r="AC206" s="380"/>
      <c r="AD206" s="14"/>
      <c r="AE206" s="414"/>
      <c r="AF206" s="14"/>
      <c r="AG206" s="14"/>
      <c r="AH206" s="14"/>
      <c r="AI206" s="14"/>
      <c r="AJ206" s="15"/>
    </row>
    <row r="207" spans="1:44" s="1" customFormat="1" ht="13.5" customHeight="1" x14ac:dyDescent="0.25">
      <c r="A207" s="262"/>
      <c r="B207" s="5"/>
      <c r="C207" s="617" t="s">
        <v>56</v>
      </c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3"/>
      <c r="AA207" s="14"/>
      <c r="AB207" s="14"/>
      <c r="AC207" s="380"/>
      <c r="AD207" s="14"/>
      <c r="AE207" s="14"/>
      <c r="AF207" s="14"/>
      <c r="AG207" s="14"/>
      <c r="AH207" s="14"/>
      <c r="AI207" s="14"/>
      <c r="AJ207" s="15"/>
    </row>
    <row r="208" spans="1:44" s="1" customFormat="1" ht="13.5" customHeight="1" x14ac:dyDescent="0.25">
      <c r="A208" s="262"/>
      <c r="B208" s="5"/>
      <c r="C208" s="617" t="s">
        <v>56</v>
      </c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3"/>
      <c r="AA208" s="14"/>
      <c r="AB208" s="14"/>
      <c r="AC208" s="380"/>
      <c r="AD208" s="14"/>
      <c r="AE208" s="14"/>
      <c r="AF208" s="14"/>
      <c r="AG208" s="14"/>
      <c r="AH208" s="14"/>
      <c r="AI208" s="14"/>
      <c r="AJ208" s="15"/>
    </row>
    <row r="209" spans="1:36" s="1" customFormat="1" ht="13.5" customHeight="1" x14ac:dyDescent="0.25">
      <c r="A209" s="262"/>
      <c r="B209" s="5"/>
      <c r="C209" s="617" t="s">
        <v>56</v>
      </c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3"/>
      <c r="AA209" s="14"/>
      <c r="AB209" s="14"/>
      <c r="AC209" s="380"/>
      <c r="AD209" s="14"/>
      <c r="AE209" s="14"/>
      <c r="AF209" s="14"/>
      <c r="AG209" s="14"/>
      <c r="AH209" s="14"/>
      <c r="AI209" s="14"/>
      <c r="AJ209" s="15"/>
    </row>
    <row r="210" spans="1:36" s="1" customFormat="1" ht="13.5" customHeight="1" x14ac:dyDescent="0.25">
      <c r="A210" s="262"/>
      <c r="B210" s="5"/>
      <c r="C210" s="617" t="s">
        <v>56</v>
      </c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3"/>
      <c r="AA210" s="14"/>
      <c r="AB210" s="14"/>
      <c r="AC210" s="380"/>
      <c r="AD210" s="14"/>
      <c r="AE210" s="14"/>
      <c r="AF210" s="14"/>
      <c r="AG210" s="14"/>
      <c r="AH210" s="14"/>
      <c r="AI210" s="14"/>
      <c r="AJ210" s="15"/>
    </row>
    <row r="211" spans="1:36" s="1" customFormat="1" ht="13.5" customHeight="1" x14ac:dyDescent="0.25">
      <c r="A211" s="262"/>
      <c r="B211" s="5"/>
      <c r="C211" s="617" t="s">
        <v>56</v>
      </c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3"/>
      <c r="AA211" s="14"/>
      <c r="AB211" s="14"/>
      <c r="AC211" s="380"/>
      <c r="AD211" s="14"/>
      <c r="AE211" s="14"/>
      <c r="AF211" s="14"/>
      <c r="AG211" s="14"/>
      <c r="AH211" s="14"/>
      <c r="AI211" s="14"/>
      <c r="AJ211" s="15"/>
    </row>
    <row r="212" spans="1:36" s="1" customFormat="1" ht="13.5" customHeight="1" x14ac:dyDescent="0.25">
      <c r="A212" s="262"/>
      <c r="B212" s="5"/>
      <c r="C212" s="617" t="s">
        <v>56</v>
      </c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3"/>
      <c r="AA212" s="14"/>
      <c r="AB212" s="14"/>
      <c r="AC212" s="380"/>
      <c r="AD212" s="14"/>
      <c r="AE212" s="14"/>
      <c r="AF212" s="14"/>
      <c r="AG212" s="14"/>
      <c r="AH212" s="14"/>
      <c r="AI212" s="14"/>
      <c r="AJ212" s="15"/>
    </row>
    <row r="213" spans="1:36" s="1" customFormat="1" ht="13.5" customHeight="1" x14ac:dyDescent="0.25">
      <c r="A213" s="262"/>
      <c r="B213" s="5"/>
      <c r="C213" s="617" t="s">
        <v>56</v>
      </c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3"/>
      <c r="AA213" s="14"/>
      <c r="AB213" s="14"/>
      <c r="AC213" s="380"/>
      <c r="AD213" s="14"/>
      <c r="AE213" s="14"/>
      <c r="AF213" s="14"/>
      <c r="AG213" s="14"/>
      <c r="AH213" s="14"/>
      <c r="AI213" s="14"/>
      <c r="AJ213" s="15"/>
    </row>
    <row r="214" spans="1:36" s="1" customFormat="1" ht="13.5" customHeight="1" x14ac:dyDescent="0.25">
      <c r="A214" s="262"/>
      <c r="B214" s="5"/>
      <c r="C214" s="617" t="s">
        <v>56</v>
      </c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3"/>
      <c r="AA214" s="14"/>
      <c r="AB214" s="14"/>
      <c r="AC214" s="380"/>
      <c r="AD214" s="14"/>
      <c r="AE214" s="14"/>
      <c r="AF214" s="14"/>
      <c r="AG214" s="14"/>
      <c r="AH214" s="14"/>
      <c r="AI214" s="14"/>
      <c r="AJ214" s="15"/>
    </row>
    <row r="215" spans="1:36" s="1" customFormat="1" ht="13.5" customHeight="1" x14ac:dyDescent="0.25">
      <c r="A215" s="262"/>
      <c r="B215" s="5"/>
      <c r="C215" s="617" t="s">
        <v>56</v>
      </c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3"/>
      <c r="AA215" s="14"/>
      <c r="AB215" s="14"/>
      <c r="AC215" s="380"/>
      <c r="AD215" s="14"/>
      <c r="AE215" s="14"/>
      <c r="AF215" s="14"/>
      <c r="AG215" s="14"/>
      <c r="AH215" s="14"/>
      <c r="AI215" s="14"/>
      <c r="AJ215" s="15"/>
    </row>
    <row r="216" spans="1:36" s="1" customFormat="1" ht="13.5" customHeight="1" x14ac:dyDescent="0.25">
      <c r="A216" s="262"/>
      <c r="B216" s="5"/>
      <c r="C216" s="617" t="s">
        <v>56</v>
      </c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3"/>
      <c r="AA216" s="14"/>
      <c r="AB216" s="14"/>
      <c r="AC216" s="380"/>
      <c r="AD216" s="14"/>
      <c r="AE216" s="14"/>
      <c r="AF216" s="14"/>
      <c r="AG216" s="14"/>
      <c r="AH216" s="14"/>
      <c r="AI216" s="14"/>
      <c r="AJ216" s="15"/>
    </row>
    <row r="217" spans="1:36" s="1" customFormat="1" ht="13.5" customHeight="1" x14ac:dyDescent="0.25">
      <c r="A217" s="262"/>
      <c r="B217" s="5"/>
      <c r="C217" s="617" t="s">
        <v>56</v>
      </c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3"/>
      <c r="AA217" s="14"/>
      <c r="AB217" s="14"/>
      <c r="AC217" s="380"/>
      <c r="AD217" s="14"/>
      <c r="AE217" s="14"/>
      <c r="AF217" s="14"/>
      <c r="AG217" s="14"/>
      <c r="AH217" s="14"/>
      <c r="AI217" s="14"/>
      <c r="AJ217" s="15"/>
    </row>
    <row r="218" spans="1:36" s="1" customFormat="1" ht="13.5" customHeight="1" x14ac:dyDescent="0.25">
      <c r="A218" s="262"/>
      <c r="B218" s="5"/>
      <c r="C218" s="617" t="s">
        <v>56</v>
      </c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3"/>
      <c r="AA218" s="14"/>
      <c r="AB218" s="14"/>
      <c r="AC218" s="380"/>
      <c r="AD218" s="14"/>
      <c r="AE218" s="14"/>
      <c r="AF218" s="14"/>
      <c r="AG218" s="14"/>
      <c r="AH218" s="14"/>
      <c r="AI218" s="14"/>
      <c r="AJ218" s="15"/>
    </row>
    <row r="219" spans="1:36" s="1" customFormat="1" ht="13.5" customHeight="1" x14ac:dyDescent="0.25">
      <c r="A219" s="262"/>
      <c r="B219" s="5"/>
      <c r="C219" s="617" t="s">
        <v>56</v>
      </c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3"/>
      <c r="AA219" s="14"/>
      <c r="AB219" s="14"/>
      <c r="AC219" s="380"/>
      <c r="AD219" s="14"/>
      <c r="AE219" s="14"/>
      <c r="AF219" s="14"/>
      <c r="AG219" s="14"/>
      <c r="AH219" s="14"/>
      <c r="AI219" s="14"/>
      <c r="AJ219" s="15"/>
    </row>
    <row r="220" spans="1:36" s="1" customFormat="1" ht="13.5" customHeight="1" x14ac:dyDescent="0.25">
      <c r="A220" s="262"/>
      <c r="B220" s="5"/>
      <c r="C220" s="617" t="s">
        <v>56</v>
      </c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3"/>
      <c r="AA220" s="14"/>
      <c r="AB220" s="14"/>
      <c r="AC220" s="380"/>
      <c r="AD220" s="14"/>
      <c r="AE220" s="14"/>
      <c r="AF220" s="14"/>
      <c r="AG220" s="14"/>
      <c r="AH220" s="14"/>
      <c r="AI220" s="14"/>
      <c r="AJ220" s="15"/>
    </row>
    <row r="221" spans="1:36" s="1" customFormat="1" ht="13.5" customHeight="1" x14ac:dyDescent="0.25">
      <c r="A221" s="262"/>
      <c r="B221" s="5"/>
      <c r="C221" s="617" t="s">
        <v>56</v>
      </c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3"/>
      <c r="AA221" s="14"/>
      <c r="AB221" s="14"/>
      <c r="AC221" s="380"/>
      <c r="AD221" s="14"/>
      <c r="AE221" s="14"/>
      <c r="AF221" s="14"/>
      <c r="AG221" s="14"/>
      <c r="AH221" s="14"/>
      <c r="AI221" s="14"/>
      <c r="AJ221" s="15"/>
    </row>
    <row r="222" spans="1:36" s="1" customFormat="1" ht="13.5" customHeight="1" x14ac:dyDescent="0.25">
      <c r="A222" s="262"/>
      <c r="B222" s="5"/>
      <c r="C222" s="617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3"/>
      <c r="AA222" s="14"/>
      <c r="AB222" s="14"/>
      <c r="AC222" s="380"/>
      <c r="AD222" s="14"/>
      <c r="AE222" s="14"/>
      <c r="AF222" s="14"/>
      <c r="AG222" s="14"/>
      <c r="AH222" s="14"/>
      <c r="AI222" s="14"/>
      <c r="AJ222" s="15"/>
    </row>
    <row r="223" spans="1:36" s="30" customFormat="1" ht="27" customHeight="1" x14ac:dyDescent="0.25">
      <c r="D223" s="587" t="s">
        <v>35</v>
      </c>
      <c r="AC223" s="384"/>
      <c r="AF223" s="587" t="s">
        <v>215</v>
      </c>
    </row>
    <row r="224" spans="1:36" s="1" customFormat="1" ht="14.45" customHeight="1" x14ac:dyDescent="0.25">
      <c r="A224" s="262"/>
      <c r="C224" s="617" t="s">
        <v>56</v>
      </c>
      <c r="AC224" s="377"/>
    </row>
    <row r="225" spans="1:29" s="1" customFormat="1" ht="14.45" customHeight="1" x14ac:dyDescent="0.25">
      <c r="A225" s="262"/>
      <c r="C225" s="617" t="s">
        <v>56</v>
      </c>
      <c r="AC225" s="377"/>
    </row>
    <row r="226" spans="1:29" s="1" customFormat="1" ht="14.45" customHeight="1" x14ac:dyDescent="0.25">
      <c r="A226" s="262"/>
      <c r="C226" s="617" t="s">
        <v>56</v>
      </c>
      <c r="AC226" s="377"/>
    </row>
    <row r="227" spans="1:29" s="1" customFormat="1" x14ac:dyDescent="0.25">
      <c r="A227" s="262"/>
      <c r="C227" s="617" t="s">
        <v>56</v>
      </c>
      <c r="AC227" s="377"/>
    </row>
    <row r="228" spans="1:29" s="1" customFormat="1" x14ac:dyDescent="0.25">
      <c r="A228" s="262"/>
      <c r="C228" s="617" t="s">
        <v>56</v>
      </c>
      <c r="AC228" s="377"/>
    </row>
    <row r="229" spans="1:29" s="1" customFormat="1" x14ac:dyDescent="0.25">
      <c r="A229" s="262"/>
      <c r="C229" s="617" t="s">
        <v>56</v>
      </c>
      <c r="AC229" s="377"/>
    </row>
    <row r="230" spans="1:29" s="1" customFormat="1" x14ac:dyDescent="0.25">
      <c r="A230" s="262"/>
      <c r="C230" s="617" t="s">
        <v>56</v>
      </c>
      <c r="AC230" s="377"/>
    </row>
    <row r="231" spans="1:29" s="1" customFormat="1" x14ac:dyDescent="0.25">
      <c r="A231" s="262"/>
      <c r="C231" s="617" t="s">
        <v>56</v>
      </c>
      <c r="AC231" s="377"/>
    </row>
    <row r="232" spans="1:29" s="1" customFormat="1" ht="15" customHeight="1" x14ac:dyDescent="0.25">
      <c r="A232" s="262"/>
      <c r="C232" s="617" t="s">
        <v>56</v>
      </c>
      <c r="AC232" s="377"/>
    </row>
    <row r="233" spans="1:29" s="1" customFormat="1" ht="15" customHeight="1" x14ac:dyDescent="0.25">
      <c r="A233" s="262"/>
      <c r="C233" s="617" t="s">
        <v>56</v>
      </c>
      <c r="AC233" s="377"/>
    </row>
    <row r="234" spans="1:29" s="1" customFormat="1" ht="15" customHeight="1" x14ac:dyDescent="0.25">
      <c r="A234" s="262"/>
      <c r="C234" s="617" t="s">
        <v>56</v>
      </c>
      <c r="AC234" s="377"/>
    </row>
    <row r="235" spans="1:29" s="1" customFormat="1" x14ac:dyDescent="0.25">
      <c r="A235" s="262"/>
      <c r="C235" s="617" t="s">
        <v>56</v>
      </c>
      <c r="AC235" s="377"/>
    </row>
    <row r="236" spans="1:29" s="1" customFormat="1" x14ac:dyDescent="0.25">
      <c r="A236" s="262"/>
      <c r="C236" s="617" t="s">
        <v>56</v>
      </c>
      <c r="AC236" s="377"/>
    </row>
    <row r="237" spans="1:29" s="1" customFormat="1" x14ac:dyDescent="0.25">
      <c r="A237" s="262"/>
      <c r="C237" s="617" t="s">
        <v>56</v>
      </c>
      <c r="AC237" s="377"/>
    </row>
    <row r="238" spans="1:29" s="1" customFormat="1" x14ac:dyDescent="0.25">
      <c r="A238" s="262"/>
      <c r="C238" s="617" t="s">
        <v>56</v>
      </c>
      <c r="AC238" s="377"/>
    </row>
    <row r="239" spans="1:29" s="1" customFormat="1" x14ac:dyDescent="0.25">
      <c r="A239" s="262"/>
      <c r="C239" s="617" t="s">
        <v>56</v>
      </c>
      <c r="AC239" s="377"/>
    </row>
    <row r="240" spans="1:29" s="1" customFormat="1" x14ac:dyDescent="0.25">
      <c r="A240" s="262"/>
      <c r="C240" s="617" t="s">
        <v>56</v>
      </c>
      <c r="AC240" s="377"/>
    </row>
    <row r="241" spans="1:54" s="1" customFormat="1" x14ac:dyDescent="0.25">
      <c r="A241" s="262"/>
      <c r="C241" s="617" t="s">
        <v>56</v>
      </c>
      <c r="AC241" s="377"/>
    </row>
    <row r="242" spans="1:54" s="1" customFormat="1" x14ac:dyDescent="0.25">
      <c r="A242" s="262"/>
      <c r="C242" s="617" t="s">
        <v>56</v>
      </c>
      <c r="AC242" s="377"/>
    </row>
    <row r="243" spans="1:54" s="1" customFormat="1" x14ac:dyDescent="0.25">
      <c r="A243" s="262"/>
      <c r="C243" s="617" t="s">
        <v>56</v>
      </c>
      <c r="AC243" s="377"/>
    </row>
    <row r="244" spans="1:54" s="1" customFormat="1" x14ac:dyDescent="0.25">
      <c r="A244" s="262"/>
      <c r="C244" s="617" t="s">
        <v>56</v>
      </c>
      <c r="AC244" s="377"/>
    </row>
    <row r="245" spans="1:54" s="1" customFormat="1" x14ac:dyDescent="0.25">
      <c r="A245" s="262"/>
      <c r="C245" s="617" t="s">
        <v>56</v>
      </c>
      <c r="AC245" s="377"/>
    </row>
    <row r="246" spans="1:54" s="1" customFormat="1" x14ac:dyDescent="0.25">
      <c r="A246" s="262"/>
      <c r="C246" s="617" t="s">
        <v>56</v>
      </c>
      <c r="AC246" s="377"/>
    </row>
    <row r="247" spans="1:54" s="1" customFormat="1" x14ac:dyDescent="0.25">
      <c r="A247" s="262"/>
      <c r="C247" s="617" t="s">
        <v>56</v>
      </c>
      <c r="AC247" s="377"/>
    </row>
    <row r="248" spans="1:54" s="1" customFormat="1" x14ac:dyDescent="0.25">
      <c r="A248" s="262"/>
      <c r="C248" s="617" t="s">
        <v>56</v>
      </c>
      <c r="AC248" s="377"/>
    </row>
    <row r="249" spans="1:54" s="1" customFormat="1" x14ac:dyDescent="0.25">
      <c r="A249" s="262"/>
      <c r="C249" s="617" t="s">
        <v>56</v>
      </c>
      <c r="AC249" s="377"/>
    </row>
    <row r="250" spans="1:54" s="1" customFormat="1" x14ac:dyDescent="0.25">
      <c r="A250" s="262"/>
      <c r="C250" s="617" t="s">
        <v>56</v>
      </c>
      <c r="AC250" s="377"/>
    </row>
    <row r="251" spans="1:54" s="1" customFormat="1" x14ac:dyDescent="0.25">
      <c r="A251" s="262"/>
      <c r="C251" s="617" t="s">
        <v>56</v>
      </c>
      <c r="AC251" s="377"/>
    </row>
    <row r="252" spans="1:54" s="319" customFormat="1" ht="82.5" customHeight="1" x14ac:dyDescent="0.25">
      <c r="D252" s="319" t="s">
        <v>290</v>
      </c>
      <c r="E252" s="320"/>
      <c r="AC252" s="427"/>
      <c r="AF252" s="319" t="s">
        <v>238</v>
      </c>
      <c r="AY252" s="320"/>
      <c r="AZ252" s="320"/>
      <c r="BA252" s="320"/>
      <c r="BB252" s="320"/>
    </row>
    <row r="253" spans="1:54" s="1" customFormat="1" x14ac:dyDescent="0.25">
      <c r="A253" s="262"/>
      <c r="C253" s="617" t="s">
        <v>56</v>
      </c>
      <c r="AC253" s="377"/>
    </row>
    <row r="254" spans="1:54" s="1" customFormat="1" ht="33" customHeight="1" x14ac:dyDescent="0.25">
      <c r="A254" s="262"/>
      <c r="C254" s="617" t="s">
        <v>56</v>
      </c>
      <c r="D254" s="836" t="str">
        <f>$D$182</f>
        <v>Losun árið 2023 í samanburði við losun fyrri ára</v>
      </c>
      <c r="E254" s="836"/>
      <c r="F254" s="836"/>
      <c r="G254" s="836"/>
      <c r="H254" s="836"/>
      <c r="I254" s="836"/>
      <c r="J254" s="836"/>
      <c r="K254" s="836"/>
      <c r="L254" s="836"/>
      <c r="M254" s="836"/>
      <c r="N254" s="836"/>
      <c r="O254" s="836"/>
      <c r="P254" s="836"/>
      <c r="AC254" s="377"/>
      <c r="AF254" s="782" t="str">
        <f>$AF$4</f>
        <v>Emissions in 2023 compared to emissions in previous years</v>
      </c>
      <c r="AG254" s="782"/>
      <c r="AH254" s="782"/>
      <c r="AI254" s="782"/>
      <c r="AJ254" s="782"/>
      <c r="AK254" s="782"/>
      <c r="AL254" s="782"/>
      <c r="AM254" s="782"/>
      <c r="AN254" s="782"/>
      <c r="AO254" s="782"/>
      <c r="AP254" s="782"/>
      <c r="AQ254" s="782"/>
      <c r="AR254" s="782"/>
    </row>
    <row r="255" spans="1:54" s="1" customFormat="1" ht="29.1" customHeight="1" x14ac:dyDescent="0.25">
      <c r="A255" s="262"/>
      <c r="C255" s="617" t="s">
        <v>56</v>
      </c>
      <c r="D255" s="102"/>
      <c r="E255" s="832" t="str">
        <f>"Losun "&amp;$B$2</f>
        <v>Losun 2023</v>
      </c>
      <c r="F255" s="833"/>
      <c r="G255" s="834"/>
      <c r="H255" s="832" t="str">
        <f>"Breyting frá "&amp;$B$3</f>
        <v>Breyting frá 2022</v>
      </c>
      <c r="I255" s="833"/>
      <c r="J255" s="834"/>
      <c r="K255" s="832" t="str">
        <f>"Breyting frá "&amp;$B$4</f>
        <v>Breyting frá 2005</v>
      </c>
      <c r="L255" s="833"/>
      <c r="M255" s="834"/>
      <c r="N255" s="832" t="str">
        <f>"Breyting frá "&amp;$B$5</f>
        <v>Breyting frá 1990</v>
      </c>
      <c r="O255" s="833"/>
      <c r="P255" s="833"/>
      <c r="AC255" s="377"/>
      <c r="AF255" s="441"/>
      <c r="AG255" s="783" t="str">
        <f>"Emissions in "&amp;$B$2</f>
        <v>Emissions in 2023</v>
      </c>
      <c r="AH255" s="784"/>
      <c r="AI255" s="785"/>
      <c r="AJ255" s="783" t="str">
        <f>"Change from "&amp;$B$3</f>
        <v>Change from 2022</v>
      </c>
      <c r="AK255" s="784"/>
      <c r="AL255" s="785"/>
      <c r="AM255" s="783" t="str">
        <f>"Change from "&amp;$B$4</f>
        <v>Change from 2005</v>
      </c>
      <c r="AN255" s="784"/>
      <c r="AO255" s="785"/>
      <c r="AP255" s="783" t="str">
        <f>"Change from "&amp;$B$5</f>
        <v>Change from 1990</v>
      </c>
      <c r="AQ255" s="784"/>
      <c r="AR255" s="784"/>
    </row>
    <row r="256" spans="1:54" s="1" customFormat="1" ht="24" customHeight="1" x14ac:dyDescent="0.25">
      <c r="A256" s="262"/>
      <c r="C256" s="617" t="s">
        <v>56</v>
      </c>
      <c r="D256" s="102"/>
      <c r="E256" s="835" t="s">
        <v>5</v>
      </c>
      <c r="F256" s="835"/>
      <c r="G256" s="103" t="s">
        <v>4</v>
      </c>
      <c r="H256" s="835" t="s">
        <v>5</v>
      </c>
      <c r="I256" s="835"/>
      <c r="J256" s="103" t="s">
        <v>4</v>
      </c>
      <c r="K256" s="835" t="s">
        <v>5</v>
      </c>
      <c r="L256" s="835"/>
      <c r="M256" s="103" t="s">
        <v>4</v>
      </c>
      <c r="N256" s="835" t="s">
        <v>5</v>
      </c>
      <c r="O256" s="835"/>
      <c r="P256" s="37" t="s">
        <v>4</v>
      </c>
      <c r="AC256" s="377"/>
      <c r="AF256" s="441"/>
      <c r="AG256" s="780" t="s">
        <v>204</v>
      </c>
      <c r="AH256" s="781"/>
      <c r="AI256" s="442" t="s">
        <v>4</v>
      </c>
      <c r="AJ256" s="780" t="s">
        <v>204</v>
      </c>
      <c r="AK256" s="781"/>
      <c r="AL256" s="442" t="s">
        <v>4</v>
      </c>
      <c r="AM256" s="780" t="s">
        <v>204</v>
      </c>
      <c r="AN256" s="781"/>
      <c r="AO256" s="442" t="s">
        <v>4</v>
      </c>
      <c r="AP256" s="780" t="s">
        <v>204</v>
      </c>
      <c r="AQ256" s="781"/>
      <c r="AR256" s="442" t="s">
        <v>4</v>
      </c>
    </row>
    <row r="257" spans="1:44" s="1" customFormat="1" ht="21" customHeight="1" x14ac:dyDescent="0.25">
      <c r="A257" s="258" t="s">
        <v>66</v>
      </c>
      <c r="C257" s="617" t="s">
        <v>56</v>
      </c>
      <c r="D257" s="144" t="str">
        <f>'Talnagögn | Numerical Data'!$D$47</f>
        <v>Álframleiðsla</v>
      </c>
      <c r="E257" s="728" cm="1">
        <f t="array" ref="E257">INDEX('Talnagögn | Numerical Data'!$1:$1048576,_xlfn.XMATCH($A257,'Talnagögn | Numerical Data'!$A:$A),_xlfn.XMATCH($B$2,'Talnagögn | Numerical Data'!$45:$45))</f>
        <v>1402.6496416686878</v>
      </c>
      <c r="F257" s="728"/>
      <c r="G257" s="44">
        <f>E257/$E$266</f>
        <v>0.72078742358467551</v>
      </c>
      <c r="H257" s="729" cm="1">
        <f t="array" ref="H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Data'!$A:$A),_xlfn.XMATCH($B$3,'Talnagögn | Numerical Data'!$45:$45))</f>
        <v>48.448911328022859</v>
      </c>
      <c r="I257" s="721"/>
      <c r="J257" s="52" cm="1">
        <f t="array" ref="J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Data'!$A:$A),_xlfn.XMATCH($B$3,'Talnagögn | Numerical Data'!$45:$45))-1</f>
        <v>3.5776757642004053E-2</v>
      </c>
      <c r="K257" s="729" cm="1">
        <f t="array" ref="K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Data'!$A:$A),_xlfn.XMATCH($B$4,'Talnagögn | Numerical Data'!$45:$45))</f>
        <v>957.84112550160057</v>
      </c>
      <c r="L257" s="721"/>
      <c r="M257" s="44" cm="1">
        <f t="array" ref="M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Data'!$A:$A),_xlfn.XMATCH($B$4,'Talnagögn | Numerical Data'!$45:$45))-1</f>
        <v>2.1533785678280468</v>
      </c>
      <c r="N257" s="729" cm="1">
        <f t="array" ref="N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Data'!$A:$A),_xlfn.XMATCH($B$5,'Talnagögn | Numerical Data'!$45:$45))</f>
        <v>818.62316889788178</v>
      </c>
      <c r="O257" s="721"/>
      <c r="P257" s="8" cm="1">
        <f t="array" ref="P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Data'!$A:$A),_xlfn.XMATCH($B$5,'Talnagögn | Numerical Data'!$45:$45))-1</f>
        <v>1.4016884628775044</v>
      </c>
      <c r="Q257" s="818"/>
      <c r="R257" s="818"/>
      <c r="S257" s="8"/>
      <c r="T257" s="818"/>
      <c r="U257" s="818"/>
      <c r="V257" s="8"/>
      <c r="W257" s="818"/>
      <c r="X257" s="818"/>
      <c r="Y257" s="8"/>
      <c r="Z257" s="818"/>
      <c r="AA257" s="818"/>
      <c r="AC257" s="377"/>
      <c r="AF257" s="144" t="str">
        <f>'Talnagögn | Numerical Data'!E47</f>
        <v>Aluminium Production</v>
      </c>
      <c r="AG257" s="728" cm="1">
        <f t="array" ref="AG257">INDEX('Talnagögn | Numerical Data'!$1:$1048576,_xlfn.XMATCH($A257,'Talnagögn | Numerical Data'!$A:$A),_xlfn.XMATCH($B$2,'Talnagögn | Numerical Data'!$45:$45))</f>
        <v>1402.6496416686878</v>
      </c>
      <c r="AH257" s="728"/>
      <c r="AI257" s="44">
        <f>AG257/$E$266</f>
        <v>0.72078742358467551</v>
      </c>
      <c r="AJ257" s="729" cm="1">
        <f t="array" ref="AJ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Data'!$A:$A),_xlfn.XMATCH($B$3,'Talnagögn | Numerical Data'!$45:$45))</f>
        <v>48.448911328022859</v>
      </c>
      <c r="AK257" s="721"/>
      <c r="AL257" s="52" cm="1">
        <f t="array" ref="AL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Data'!$A:$A),_xlfn.XMATCH($B$3,'Talnagögn | Numerical Data'!$45:$45))-1</f>
        <v>3.5776757642004053E-2</v>
      </c>
      <c r="AM257" s="729" cm="1">
        <f t="array" ref="AM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Data'!$A:$A),_xlfn.XMATCH($B$4,'Talnagögn | Numerical Data'!$45:$45))</f>
        <v>957.84112550160057</v>
      </c>
      <c r="AN257" s="721"/>
      <c r="AO257" s="44" cm="1">
        <f t="array" ref="AO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Data'!$A:$A),_xlfn.XMATCH($B$4,'Talnagögn | Numerical Data'!$45:$45))-1</f>
        <v>2.1533785678280468</v>
      </c>
      <c r="AP257" s="729" cm="1">
        <f t="array" ref="AP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Data'!$A:$A),_xlfn.XMATCH($B$5,'Talnagögn | Numerical Data'!$45:$45))</f>
        <v>818.62316889788178</v>
      </c>
      <c r="AQ257" s="721"/>
      <c r="AR257" s="8" cm="1">
        <f t="array" ref="AR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Data'!$A:$A),_xlfn.XMATCH($B$5,'Talnagögn | Numerical Data'!$45:$45))-1</f>
        <v>1.4016884628775044</v>
      </c>
    </row>
    <row r="258" spans="1:44" s="1" customFormat="1" ht="21" customHeight="1" x14ac:dyDescent="0.25">
      <c r="A258" s="252" t="s">
        <v>337</v>
      </c>
      <c r="C258" s="617" t="s">
        <v>56</v>
      </c>
      <c r="D258" s="144" t="str">
        <f>'Talnagögn | Numerical Data'!D48</f>
        <v>Kísil- og kísilmálmframleiðsla</v>
      </c>
      <c r="E258" s="729" cm="1">
        <f t="array" ref="E258">INDEX('Talnagögn | Numerical Data'!$1:$1048576,_xlfn.XMATCH($A258,'Talnagögn | Numerical Data'!$A:$A),_xlfn.XMATCH($B$2,'Talnagögn | Numerical Data'!$45:$45))</f>
        <v>408.20430474231654</v>
      </c>
      <c r="F258" s="721"/>
      <c r="G258" s="44">
        <f>E258/$E$266</f>
        <v>0.2097662312602552</v>
      </c>
      <c r="H258" s="729" cm="1">
        <f t="array" ref="H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Data'!$A:$A),_xlfn.XMATCH($B$3,'Talnagögn | Numerical Data'!$45:$45))</f>
        <v>-109.51608579337113</v>
      </c>
      <c r="I258" s="721"/>
      <c r="J258" s="44" cm="1">
        <f t="array" ref="J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Data'!$A:$A),_xlfn.XMATCH($B$3,'Talnagögn | Numerical Data'!$45:$45))-1</f>
        <v>-0.21153519891317074</v>
      </c>
      <c r="K258" s="729" cm="1">
        <f t="array" ref="K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Data'!$A:$A),_xlfn.XMATCH($B$4,'Talnagögn | Numerical Data'!$45:$45))</f>
        <v>28.261410735916513</v>
      </c>
      <c r="L258" s="721"/>
      <c r="M258" s="52" cm="1">
        <f t="array" ref="M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Data'!$A:$A),_xlfn.XMATCH($B$4,'Talnagögn | Numerical Data'!$45:$45))-1</f>
        <v>7.4383311760110038E-2</v>
      </c>
      <c r="N258" s="729" cm="1">
        <f t="array" ref="N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Data'!$A:$A),_xlfn.XMATCH($B$5,'Talnagögn | Numerical Data'!$45:$45))</f>
        <v>197.64958303564987</v>
      </c>
      <c r="O258" s="721"/>
      <c r="P258" s="8" cm="1">
        <f t="array" ref="P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Data'!$A:$A),_xlfn.XMATCH($B$5,'Talnagögn | Numerical Data'!$45:$45))-1</f>
        <v>0.93870886120998254</v>
      </c>
      <c r="Q258" s="818"/>
      <c r="R258" s="818"/>
      <c r="S258" s="8"/>
      <c r="T258" s="818"/>
      <c r="U258" s="818"/>
      <c r="V258" s="8"/>
      <c r="W258" s="818"/>
      <c r="X258" s="818"/>
      <c r="Y258" s="8"/>
      <c r="Z258" s="818"/>
      <c r="AA258" s="818"/>
      <c r="AC258" s="377"/>
      <c r="AF258" s="144" t="str">
        <f>'Talnagögn | Numerical Data'!E48</f>
        <v>Ferrosilicon and Silicon Metal Production</v>
      </c>
      <c r="AG258" s="729" cm="1">
        <f t="array" ref="AG258">INDEX('Talnagögn | Numerical Data'!$1:$1048576,_xlfn.XMATCH($A258,'Talnagögn | Numerical Data'!$A:$A),_xlfn.XMATCH($B$2,'Talnagögn | Numerical Data'!$45:$45))</f>
        <v>408.20430474231654</v>
      </c>
      <c r="AH258" s="721"/>
      <c r="AI258" s="44">
        <f>AG258/$E$266</f>
        <v>0.2097662312602552</v>
      </c>
      <c r="AJ258" s="729" cm="1">
        <f t="array" ref="AJ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Data'!$A:$A),_xlfn.XMATCH($B$3,'Talnagögn | Numerical Data'!$45:$45))</f>
        <v>-109.51608579337113</v>
      </c>
      <c r="AK258" s="721"/>
      <c r="AL258" s="44" cm="1">
        <f t="array" ref="AL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Data'!$A:$A),_xlfn.XMATCH($B$3,'Talnagögn | Numerical Data'!$45:$45))-1</f>
        <v>-0.21153519891317074</v>
      </c>
      <c r="AM258" s="729" cm="1">
        <f t="array" ref="AM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Data'!$A:$A),_xlfn.XMATCH($B$4,'Talnagögn | Numerical Data'!$45:$45))</f>
        <v>28.261410735916513</v>
      </c>
      <c r="AN258" s="721"/>
      <c r="AO258" s="52" cm="1">
        <f t="array" ref="AO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Data'!$A:$A),_xlfn.XMATCH($B$4,'Talnagögn | Numerical Data'!$45:$45))-1</f>
        <v>7.4383311760110038E-2</v>
      </c>
      <c r="AP258" s="729" cm="1">
        <f t="array" ref="AP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Data'!$A:$A),_xlfn.XMATCH($B$5,'Talnagögn | Numerical Data'!$45:$45))</f>
        <v>197.64958303564987</v>
      </c>
      <c r="AQ258" s="721"/>
      <c r="AR258" s="8" cm="1">
        <f t="array" ref="AR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Data'!$A:$A),_xlfn.XMATCH($B$5,'Talnagögn | Numerical Data'!$45:$45))-1</f>
        <v>0.93870886120998254</v>
      </c>
    </row>
    <row r="259" spans="1:44" s="1" customFormat="1" ht="21" customHeight="1" x14ac:dyDescent="0.25">
      <c r="A259" s="258" t="s">
        <v>68</v>
      </c>
      <c r="C259" s="617" t="s">
        <v>56</v>
      </c>
      <c r="D259" s="144" t="str">
        <f>'Talnagögn | Numerical Data'!$D$49</f>
        <v>F-gös (m.a. kælimiðlar)</v>
      </c>
      <c r="E259" s="729" cm="1">
        <f t="array" ref="E259">INDEX('Talnagögn | Numerical Data'!$1:$1048576,_xlfn.XMATCH($A259,'Talnagögn | Numerical Data'!$A:$A),_xlfn.XMATCH($B$2,'Talnagögn | Numerical Data'!$45:$45))</f>
        <v>124.61138001256812</v>
      </c>
      <c r="F259" s="721"/>
      <c r="G259" s="52">
        <f>E259/$E$266</f>
        <v>6.4034747438238324E-2</v>
      </c>
      <c r="H259" s="737" cm="1">
        <f t="array" ref="H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Data'!$A:$A),_xlfn.XMATCH($B$3,'Talnagögn | Numerical Data'!$45:$45))</f>
        <v>-8.6529120490210261</v>
      </c>
      <c r="I259" s="738"/>
      <c r="J259" s="52" cm="1">
        <f t="array" ref="J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Data'!$A:$A),_xlfn.XMATCH($B$3,'Talnagögn | Numerical Data'!$45:$45))-1</f>
        <v>-6.4930461980183041E-2</v>
      </c>
      <c r="K259" s="729" cm="1">
        <f t="array" ref="K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Data'!$A:$A),_xlfn.XMATCH($B$4,'Talnagögn | Numerical Data'!$45:$45))</f>
        <v>67.410138606423288</v>
      </c>
      <c r="L259" s="721"/>
      <c r="M259" s="44" cm="1">
        <f t="array" ref="M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Data'!$A:$A),_xlfn.XMATCH($B$4,'Talnagögn | Numerical Data'!$45:$45))-1</f>
        <v>1.178473350390989</v>
      </c>
      <c r="N259" s="729" cm="1">
        <f t="array" ref="N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Data'!$A:$A),_xlfn.XMATCH($B$5,'Talnagögn | Numerical Data'!$45:$45))</f>
        <v>124.29550161751291</v>
      </c>
      <c r="O259" s="721"/>
      <c r="P259" s="8" cm="1">
        <f t="array" ref="P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Data'!$A:$A),_xlfn.XMATCH($B$5,'Talnagögn | Numerical Data'!$45:$45))-1</f>
        <v>393.49162070988831</v>
      </c>
      <c r="Q259" s="818"/>
      <c r="R259" s="818"/>
      <c r="S259" s="8"/>
      <c r="T259" s="818"/>
      <c r="U259" s="818"/>
      <c r="V259" s="8"/>
      <c r="W259" s="818"/>
      <c r="X259" s="818"/>
      <c r="Y259" s="8"/>
      <c r="Z259" s="818"/>
      <c r="AA259" s="818"/>
      <c r="AC259" s="377"/>
      <c r="AF259" s="144" t="str">
        <f>'Talnagögn | Numerical Data'!E49</f>
        <v>F-Gases</v>
      </c>
      <c r="AG259" s="729" cm="1">
        <f t="array" ref="AG259">INDEX('Talnagögn | Numerical Data'!$1:$1048576,_xlfn.XMATCH($A259,'Talnagögn | Numerical Data'!$A:$A),_xlfn.XMATCH($B$2,'Talnagögn | Numerical Data'!$45:$45))</f>
        <v>124.61138001256812</v>
      </c>
      <c r="AH259" s="721"/>
      <c r="AI259" s="52">
        <f>AG259/$E$266</f>
        <v>6.4034747438238324E-2</v>
      </c>
      <c r="AJ259" s="737" cm="1">
        <f t="array" ref="AJ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Data'!$A:$A),_xlfn.XMATCH($B$3,'Talnagögn | Numerical Data'!$45:$45))</f>
        <v>-8.6529120490210261</v>
      </c>
      <c r="AK259" s="738"/>
      <c r="AL259" s="52" cm="1">
        <f t="array" ref="AL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Data'!$A:$A),_xlfn.XMATCH($B$3,'Talnagögn | Numerical Data'!$45:$45))-1</f>
        <v>-6.4930461980183041E-2</v>
      </c>
      <c r="AM259" s="729" cm="1">
        <f t="array" ref="AM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Data'!$A:$A),_xlfn.XMATCH($B$4,'Talnagögn | Numerical Data'!$45:$45))</f>
        <v>67.410138606423288</v>
      </c>
      <c r="AN259" s="721"/>
      <c r="AO259" s="44" cm="1">
        <f t="array" ref="AO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Data'!$A:$A),_xlfn.XMATCH($B$4,'Talnagögn | Numerical Data'!$45:$45))-1</f>
        <v>1.178473350390989</v>
      </c>
      <c r="AP259" s="729" cm="1">
        <f t="array" ref="AP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Data'!$A:$A),_xlfn.XMATCH($B$5,'Talnagögn | Numerical Data'!$45:$45))</f>
        <v>124.29550161751291</v>
      </c>
      <c r="AQ259" s="721"/>
      <c r="AR259" s="8" cm="1">
        <f t="array" ref="AR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Data'!$A:$A),_xlfn.XMATCH($B$5,'Talnagögn | Numerical Data'!$45:$45))-1</f>
        <v>393.49162070988831</v>
      </c>
    </row>
    <row r="260" spans="1:44" s="1" customFormat="1" ht="21" customHeight="1" x14ac:dyDescent="0.25">
      <c r="A260" s="264" t="s">
        <v>121</v>
      </c>
      <c r="C260" s="617" t="s">
        <v>56</v>
      </c>
      <c r="D260" s="48" t="s">
        <v>25</v>
      </c>
      <c r="E260" s="729" cm="1">
        <f t="array" ref="E260">INDEX('Talnagögn | Numerical Data'!$1:$1048576,_xlfn.XMATCH($A260,'Talnagögn | Numerical Data'!$A:$A),_xlfn.XMATCH($B$2,'Talnagögn | Numerical Data'!$45:$45))</f>
        <v>10.530949001049688</v>
      </c>
      <c r="F260" s="721"/>
      <c r="G260" s="115">
        <f>E260/$E$266</f>
        <v>5.4115977168310899E-3</v>
      </c>
      <c r="H260" s="751" cm="1">
        <f t="array" ref="H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Data'!$A:$A),_xlfn.XMATCH($B$3,'Talnagögn | Numerical Data'!$45:$45))</f>
        <v>-0.44726434379209934</v>
      </c>
      <c r="I260" s="752"/>
      <c r="J260" s="52" cm="1">
        <f t="array" ref="J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Data'!$A:$A),_xlfn.XMATCH($B$3,'Talnagögn | Numerical Data'!$45:$45))-1</f>
        <v>-4.0741086891178946E-2</v>
      </c>
      <c r="K260" s="729" cm="1">
        <f t="array" ref="K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Data'!$A:$A),_xlfn.XMATCH($B$4,'Talnagögn | Numerical Data'!$45:$45))</f>
        <v>-57.499666447289513</v>
      </c>
      <c r="L260" s="721"/>
      <c r="M260" s="44" cm="1">
        <f t="array" ref="M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Data'!$A:$A),_xlfn.XMATCH($B$4,'Talnagögn | Numerical Data'!$45:$45))-1</f>
        <v>-0.84520279683421895</v>
      </c>
      <c r="N260" s="729" cm="1">
        <f t="array" ref="N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Data'!$A:$A),_xlfn.XMATCH($B$5,'Talnagögn | Numerical Data'!$45:$45))</f>
        <v>-96.868253848442734</v>
      </c>
      <c r="O260" s="721"/>
      <c r="P260" s="8" cm="1">
        <f t="array" ref="P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Data'!$A:$A),_xlfn.XMATCH($B$5,'Talnagögn | Numerical Data'!$45:$45))-1</f>
        <v>-0.90194574334217736</v>
      </c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C260" s="377"/>
      <c r="AF260" s="48" t="str">
        <f>'Talnagögn | Numerical Data'!E50</f>
        <v>Other Emissions</v>
      </c>
      <c r="AG260" s="729" cm="1">
        <f t="array" ref="AG260">INDEX('Talnagögn | Numerical Data'!$1:$1048576,_xlfn.XMATCH($A260,'Talnagögn | Numerical Data'!$A:$A),_xlfn.XMATCH($B$2,'Talnagögn | Numerical Data'!$45:$45))</f>
        <v>10.530949001049688</v>
      </c>
      <c r="AH260" s="721"/>
      <c r="AI260" s="115">
        <f>AG260/$E$266</f>
        <v>5.4115977168310899E-3</v>
      </c>
      <c r="AJ260" s="751" cm="1">
        <f t="array" ref="AJ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Data'!$A:$A),_xlfn.XMATCH($B$3,'Talnagögn | Numerical Data'!$45:$45))</f>
        <v>-0.44726434379209934</v>
      </c>
      <c r="AK260" s="752"/>
      <c r="AL260" s="52" cm="1">
        <f t="array" ref="AL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Data'!$A:$A),_xlfn.XMATCH($B$3,'Talnagögn | Numerical Data'!$45:$45))-1</f>
        <v>-4.0741086891178946E-2</v>
      </c>
      <c r="AM260" s="729" cm="1">
        <f t="array" ref="AM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Data'!$A:$A),_xlfn.XMATCH($B$4,'Talnagögn | Numerical Data'!$45:$45))</f>
        <v>-57.499666447289513</v>
      </c>
      <c r="AN260" s="721"/>
      <c r="AO260" s="44" cm="1">
        <f t="array" ref="AO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Data'!$A:$A),_xlfn.XMATCH($B$4,'Talnagögn | Numerical Data'!$45:$45))-1</f>
        <v>-0.84520279683421895</v>
      </c>
      <c r="AP260" s="729" cm="1">
        <f t="array" ref="AP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Data'!$A:$A),_xlfn.XMATCH($B$5,'Talnagögn | Numerical Data'!$45:$45))</f>
        <v>-96.868253848442734</v>
      </c>
      <c r="AQ260" s="721"/>
      <c r="AR260" s="8" cm="1">
        <f t="array" ref="AR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Data'!$A:$A),_xlfn.XMATCH($B$5,'Talnagögn | Numerical Data'!$45:$45))-1</f>
        <v>-0.90194574334217736</v>
      </c>
    </row>
    <row r="261" spans="1:44" s="1" customFormat="1" ht="21" customHeight="1" x14ac:dyDescent="0.25">
      <c r="A261" s="258" t="s">
        <v>64</v>
      </c>
      <c r="B261" s="5" t="s">
        <v>56</v>
      </c>
      <c r="C261" s="617" t="s">
        <v>56</v>
      </c>
      <c r="D261" s="537" t="str">
        <f>'Talnagögn | Numerical Data'!$D$51</f>
        <v xml:space="preserve">   Steinefnaiðnaður</v>
      </c>
      <c r="E261" s="772" cm="1">
        <f t="array" ref="E261">INDEX('Talnagögn | Numerical Data'!$1:$1048576,_xlfn.XMATCH($A261,'Talnagögn | Numerical Data'!$A:$A),_xlfn.XMATCH($B$2,'Talnagögn | Numerical Data'!$45:$45))</f>
        <v>0.96926805625000012</v>
      </c>
      <c r="F261" s="773"/>
      <c r="G261" s="221">
        <f>$E261/$E$266</f>
        <v>4.9808320215746717E-4</v>
      </c>
      <c r="H261" s="778" cm="1">
        <f t="array" ref="H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Data'!$A:$A),_xlfn.XMATCH($B$3,'Talnagögn | Numerical Data'!$45:$45))</f>
        <v>3.3367946250000058E-2</v>
      </c>
      <c r="I261" s="779"/>
      <c r="J261" s="225" cm="1">
        <f t="array" ref="J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Data'!$A:$A),_xlfn.XMATCH($B$3,'Talnagögn | Numerical Data'!$45:$45))-1</f>
        <v>3.5653320149732659E-2</v>
      </c>
      <c r="K261" s="718" cm="1">
        <f t="array" ref="K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Data'!$A:$A),_xlfn.XMATCH($B$4,'Talnagögn | Numerical Data'!$45:$45))</f>
        <v>-54.012020833750007</v>
      </c>
      <c r="L261" s="719"/>
      <c r="M261" s="223" cm="1">
        <f t="array" ref="M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Data'!$A:$A),_xlfn.XMATCH($B$4,'Talnagögn | Numerical Data'!$45:$45))-1</f>
        <v>-0.98237094699272698</v>
      </c>
      <c r="N261" s="718" cm="1">
        <f t="array" ref="N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Data'!$A:$A),_xlfn.XMATCH($B$5,'Talnagögn | Numerical Data'!$45:$45))</f>
        <v>-51.287071631000003</v>
      </c>
      <c r="O261" s="719"/>
      <c r="P261" s="224" cm="1">
        <f t="array" ref="P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Data'!$A:$A),_xlfn.XMATCH($B$5,'Talnagögn | Numerical Data'!$45:$45))-1</f>
        <v>-0.98145166572991926</v>
      </c>
      <c r="Q261" s="818"/>
      <c r="R261" s="818"/>
      <c r="S261" s="8"/>
      <c r="T261" s="818"/>
      <c r="U261" s="818"/>
      <c r="V261" s="8"/>
      <c r="W261" s="818"/>
      <c r="X261" s="818"/>
      <c r="Y261" s="8"/>
      <c r="Z261" s="818"/>
      <c r="AA261" s="818"/>
      <c r="AC261" s="377"/>
      <c r="AF261" s="220" t="str">
        <f>'Talnagögn | Numerical Data'!E51</f>
        <v xml:space="preserve">   Mineral Products</v>
      </c>
      <c r="AG261" s="772" cm="1">
        <f t="array" ref="AG261">INDEX('Talnagögn | Numerical Data'!$1:$1048576,_xlfn.XMATCH($A261,'Talnagögn | Numerical Data'!$A:$A),_xlfn.XMATCH($B$2,'Talnagögn | Numerical Data'!$45:$45))</f>
        <v>0.96926805625000012</v>
      </c>
      <c r="AH261" s="773"/>
      <c r="AI261" s="221">
        <f>$E261/$E$266</f>
        <v>4.9808320215746717E-4</v>
      </c>
      <c r="AJ261" s="778" cm="1">
        <f t="array" ref="AJ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Data'!$A:$A),_xlfn.XMATCH($B$3,'Talnagögn | Numerical Data'!$45:$45))</f>
        <v>3.3367946250000058E-2</v>
      </c>
      <c r="AK261" s="779"/>
      <c r="AL261" s="225" cm="1">
        <f t="array" ref="AL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Data'!$A:$A),_xlfn.XMATCH($B$3,'Talnagögn | Numerical Data'!$45:$45))-1</f>
        <v>3.5653320149732659E-2</v>
      </c>
      <c r="AM261" s="718" cm="1">
        <f t="array" ref="AM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Data'!$A:$A),_xlfn.XMATCH($B$4,'Talnagögn | Numerical Data'!$45:$45))</f>
        <v>-54.012020833750007</v>
      </c>
      <c r="AN261" s="719"/>
      <c r="AO261" s="223" cm="1">
        <f t="array" ref="AO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Data'!$A:$A),_xlfn.XMATCH($B$4,'Talnagögn | Numerical Data'!$45:$45))-1</f>
        <v>-0.98237094699272698</v>
      </c>
      <c r="AP261" s="718" cm="1">
        <f t="array" ref="AP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Data'!$A:$A),_xlfn.XMATCH($B$5,'Talnagögn | Numerical Data'!$45:$45))</f>
        <v>-51.287071631000003</v>
      </c>
      <c r="AQ261" s="719"/>
      <c r="AR261" s="224" cm="1">
        <f t="array" ref="AR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Data'!$A:$A),_xlfn.XMATCH($B$5,'Talnagögn | Numerical Data'!$45:$45))-1</f>
        <v>-0.98145166572991926</v>
      </c>
    </row>
    <row r="262" spans="1:44" s="1" customFormat="1" ht="21" customHeight="1" x14ac:dyDescent="0.25">
      <c r="A262" s="258" t="s">
        <v>65</v>
      </c>
      <c r="B262" s="5" t="s">
        <v>56</v>
      </c>
      <c r="C262" s="617" t="s">
        <v>56</v>
      </c>
      <c r="D262" s="537" t="str">
        <f>'Talnagögn | Numerical Data'!$D$52</f>
        <v xml:space="preserve">   Efnaiðnaður</v>
      </c>
      <c r="E262" s="830" cm="1">
        <f t="array" ref="E262">INDEX('Talnagögn | Numerical Data'!$1:$1048576,_xlfn.XMATCH($A262,'Talnagögn | Numerical Data'!$A:$A),_xlfn.XMATCH($B$2,'Talnagögn | Numerical Data'!$45:$45))</f>
        <v>0</v>
      </c>
      <c r="F262" s="831"/>
      <c r="G262" s="230" t="str">
        <f>IF($E262/$E$266=0,"─",$E262/$E$266)</f>
        <v>─</v>
      </c>
      <c r="H262" s="718" cm="1">
        <f t="array" ref="H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Data'!$A:$A),_xlfn.XMATCH($B$3,'Talnagögn | Numerical Data'!$45:$45))</f>
        <v>0</v>
      </c>
      <c r="I262" s="719"/>
      <c r="J262" s="231" t="str" cm="1">
        <f t="array" ref="J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K262" s="718" cm="1">
        <f t="array" ref="K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Data'!$A:$A),_xlfn.XMATCH($B$4,'Talnagögn | Numerical Data'!$45:$45))</f>
        <v>0</v>
      </c>
      <c r="L262" s="719"/>
      <c r="M262" s="231" t="str" cm="1">
        <f t="array" ref="M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N262" s="718" cm="1">
        <f t="array" ref="N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Data'!$A:$A),_xlfn.XMATCH($B$5,'Talnagögn | Numerical Data'!$45:$45))</f>
        <v>-41.70030188679246</v>
      </c>
      <c r="O262" s="719"/>
      <c r="P262" s="224" cm="1">
        <f t="array" ref="P262">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Data'!$A:$A),_xlfn.XMATCH($B$5,'Talnagögn | Numerical Data'!$45:$45))-1</f>
        <v>-1</v>
      </c>
      <c r="Q262" s="818"/>
      <c r="R262" s="818"/>
      <c r="S262" s="8"/>
      <c r="T262" s="818"/>
      <c r="U262" s="818"/>
      <c r="V262" s="8"/>
      <c r="W262" s="818"/>
      <c r="X262" s="818"/>
      <c r="Y262" s="8"/>
      <c r="Z262" s="818"/>
      <c r="AA262" s="818"/>
      <c r="AC262" s="377"/>
      <c r="AF262" s="220" t="str">
        <f>'Talnagögn | Numerical Data'!E52</f>
        <v xml:space="preserve">   Chemical Industry</v>
      </c>
      <c r="AG262" s="768" cm="1">
        <f t="array" ref="AG262">INDEX('Talnagögn | Numerical Data'!$1:$1048576,_xlfn.XMATCH($A262,'Talnagögn | Numerical Data'!$A:$A),_xlfn.XMATCH($B$2,'Talnagögn | Numerical Data'!$45:$45))</f>
        <v>0</v>
      </c>
      <c r="AH262" s="769"/>
      <c r="AI262" s="230" t="str">
        <f>IF($E262/$E$266=0,"─",$E262/$E$266)</f>
        <v>─</v>
      </c>
      <c r="AJ262" s="718" cm="1">
        <f t="array" ref="AJ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Data'!$A:$A),_xlfn.XMATCH($B$3,'Talnagögn | Numerical Data'!$45:$45))</f>
        <v>0</v>
      </c>
      <c r="AK262" s="719"/>
      <c r="AL262" s="231" t="str" cm="1">
        <f t="array" ref="AL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AM262" s="718" cm="1">
        <f t="array" ref="AM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Data'!$A:$A),_xlfn.XMATCH($B$4,'Talnagögn | Numerical Data'!$45:$45))</f>
        <v>0</v>
      </c>
      <c r="AN262" s="719"/>
      <c r="AO262" s="231" t="str" cm="1">
        <f t="array" ref="AO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AP262" s="718" cm="1">
        <f t="array" ref="AP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Data'!$A:$A),_xlfn.XMATCH($B$5,'Talnagögn | Numerical Data'!$45:$45))</f>
        <v>-41.70030188679246</v>
      </c>
      <c r="AQ262" s="719"/>
      <c r="AR262" s="224" cm="1">
        <f t="array" ref="AR262">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Data'!$A:$A),_xlfn.XMATCH($B$5,'Talnagögn | Numerical Data'!$45:$45))-1</f>
        <v>-1</v>
      </c>
    </row>
    <row r="263" spans="1:44" s="1" customFormat="1" ht="21" customHeight="1" x14ac:dyDescent="0.25">
      <c r="A263" s="258" t="s">
        <v>338</v>
      </c>
      <c r="B263" s="5"/>
      <c r="C263" s="617"/>
      <c r="D263" s="537" t="s">
        <v>348</v>
      </c>
      <c r="E263" s="716" cm="1">
        <f t="array" ref="E263">INDEX('Talnagögn | Numerical Data'!$1:$1048576,_xlfn.XMATCH($A263,'Talnagögn | Numerical Data'!$A:$A),_xlfn.XMATCH($B$2,'Talnagögn | Numerical Data'!$45:$45))</f>
        <v>0</v>
      </c>
      <c r="F263" s="717"/>
      <c r="G263" s="230" t="str">
        <f>IF($E263/$E$266=0,"─",$E263/$E$266)</f>
        <v>─</v>
      </c>
      <c r="H263" s="718" cm="1">
        <f t="array" ref="H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Data'!$A:$A),_xlfn.XMATCH($B$3,'Talnagögn | Numerical Data'!$45:$45))</f>
        <v>0</v>
      </c>
      <c r="I263" s="719"/>
      <c r="J263" s="231" t="str" cm="1">
        <f t="array" ref="J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K263" s="718" cm="1">
        <f t="array" ref="K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Data'!$A:$A),_xlfn.XMATCH($B$4,'Talnagögn | Numerical Data'!$45:$45))</f>
        <v>0</v>
      </c>
      <c r="L263" s="719"/>
      <c r="M263" s="231" t="str" cm="1">
        <f t="array" ref="M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N263" s="718" cm="1">
        <f t="array" ref="N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Data'!$A:$A),_xlfn.XMATCH($B$5,'Talnagögn | Numerical Data'!$45:$45))</f>
        <v>0</v>
      </c>
      <c r="O263" s="719"/>
      <c r="P263" s="224" t="str" cm="1">
        <f t="array" ref="P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Data'!$A:$A),_xlfn.XMATCH($B$5,'Talnagögn | Numerical Data'!$45:$45))-1,"─")</f>
        <v>─</v>
      </c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C263" s="377"/>
      <c r="AF263" s="220" t="s">
        <v>354</v>
      </c>
      <c r="AG263" s="716" cm="1">
        <f t="array" ref="AG263">INDEX('Talnagögn | Numerical Data'!$1:$1048576,_xlfn.XMATCH($A263,'Talnagögn | Numerical Data'!$A:$A),_xlfn.XMATCH($B$2,'Talnagögn | Numerical Data'!$45:$45))</f>
        <v>0</v>
      </c>
      <c r="AH263" s="717"/>
      <c r="AI263" s="230" t="str">
        <f>IF($E263/$E$266=0,"─",$E263/$E$266)</f>
        <v>─</v>
      </c>
      <c r="AJ263" s="718" cm="1">
        <f t="array" ref="AJ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Data'!$A:$A),_xlfn.XMATCH($B$3,'Talnagögn | Numerical Data'!$45:$45))</f>
        <v>0</v>
      </c>
      <c r="AK263" s="719"/>
      <c r="AL263" s="231" t="str" cm="1">
        <f t="array" ref="AL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AM263" s="718" cm="1">
        <f t="array" ref="AM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Data'!$A:$A),_xlfn.XMATCH($B$4,'Talnagögn | Numerical Data'!$45:$45))</f>
        <v>0</v>
      </c>
      <c r="AN263" s="719"/>
      <c r="AO263" s="231" t="str" cm="1">
        <f t="array" ref="AO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AP263" s="718" cm="1">
        <f t="array" ref="AP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Data'!$A:$A),_xlfn.XMATCH($B$5,'Talnagögn | Numerical Data'!$45:$45))</f>
        <v>0</v>
      </c>
      <c r="AQ263" s="719"/>
      <c r="AR263" s="224" t="str" cm="1">
        <f t="array" ref="AR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Data'!$A:$A),_xlfn.XMATCH($B$5,'Talnagögn | Numerical Data'!$45:$45))-1,"─")</f>
        <v>─</v>
      </c>
    </row>
    <row r="264" spans="1:44" s="1" customFormat="1" ht="21" customHeight="1" x14ac:dyDescent="0.25">
      <c r="A264" s="258" t="s">
        <v>67</v>
      </c>
      <c r="B264" s="5" t="s">
        <v>56</v>
      </c>
      <c r="C264" s="617" t="s">
        <v>56</v>
      </c>
      <c r="D264" s="537" t="str">
        <f>'Talnagögn | Numerical Data'!$D$54</f>
        <v xml:space="preserve">   Smurefni og leysiefni</v>
      </c>
      <c r="E264" s="770" cm="1">
        <f t="array" ref="E264">INDEX('Talnagögn | Numerical Data'!$1:$1048576,_xlfn.XMATCH($A264,'Talnagögn | Numerical Data'!$A:$A),_xlfn.XMATCH($B$2,'Talnagögn | Numerical Data'!$45:$45))</f>
        <v>5.7459835593930215</v>
      </c>
      <c r="F264" s="771"/>
      <c r="G264" s="222">
        <f>$E264/$E$266</f>
        <v>2.952720738450145E-3</v>
      </c>
      <c r="H264" s="772" cm="1">
        <f t="array" ref="H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Data'!$A:$A),_xlfn.XMATCH($B$3,'Talnagögn | Numerical Data'!$45:$45))</f>
        <v>-0.12351935068976694</v>
      </c>
      <c r="I264" s="773"/>
      <c r="J264" s="225" cm="1">
        <f t="array" ref="J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Data'!$A:$A),_xlfn.XMATCH($B$3,'Talnagögn | Numerical Data'!$45:$45))-1</f>
        <v>-2.1044260916470825E-2</v>
      </c>
      <c r="K264" s="770" cm="1">
        <f t="array" ref="K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Data'!$A:$A),_xlfn.XMATCH($B$4,'Talnagögn | Numerical Data'!$45:$45))</f>
        <v>-1.1783929475491703</v>
      </c>
      <c r="L264" s="771"/>
      <c r="M264" s="223" cm="1">
        <f t="array" ref="M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Data'!$A:$A),_xlfn.XMATCH($B$4,'Talnagögn | Numerical Data'!$45:$45))-1</f>
        <v>-0.17018036878378084</v>
      </c>
      <c r="N264" s="770" cm="1">
        <f t="array" ref="N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Data'!$A:$A),_xlfn.XMATCH($B$5,'Talnagögn | Numerical Data'!$45:$45))</f>
        <v>-1.0911801977899422</v>
      </c>
      <c r="O264" s="771"/>
      <c r="P264" s="224" cm="1">
        <f t="array" ref="P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Data'!$A:$A),_xlfn.XMATCH($B$5,'Talnagögn | Numerical Data'!$45:$45))-1</f>
        <v>-0.15959544579337803</v>
      </c>
      <c r="Q264" s="818"/>
      <c r="R264" s="818"/>
      <c r="S264" s="8"/>
      <c r="T264" s="818"/>
      <c r="U264" s="818"/>
      <c r="V264" s="8"/>
      <c r="W264" s="818"/>
      <c r="X264" s="818"/>
      <c r="Y264" s="8"/>
      <c r="Z264" s="818"/>
      <c r="AA264" s="818"/>
      <c r="AC264" s="377"/>
      <c r="AF264" s="220" t="str">
        <f>'Talnagögn | Numerical Data'!E54</f>
        <v xml:space="preserve">   Non-Energy Products from Fuels and Solvent Use</v>
      </c>
      <c r="AG264" s="770" cm="1">
        <f t="array" ref="AG264">INDEX('Talnagögn | Numerical Data'!$1:$1048576,_xlfn.XMATCH($A264,'Talnagögn | Numerical Data'!$A:$A),_xlfn.XMATCH($B$2,'Talnagögn | Numerical Data'!$45:$45))</f>
        <v>5.7459835593930215</v>
      </c>
      <c r="AH264" s="771"/>
      <c r="AI264" s="222">
        <f>$E264/$E$266</f>
        <v>2.952720738450145E-3</v>
      </c>
      <c r="AJ264" s="772" cm="1">
        <f t="array" ref="AJ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Data'!$A:$A),_xlfn.XMATCH($B$3,'Talnagögn | Numerical Data'!$45:$45))</f>
        <v>-0.12351935068976694</v>
      </c>
      <c r="AK264" s="773"/>
      <c r="AL264" s="225" cm="1">
        <f t="array" ref="AL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Data'!$A:$A),_xlfn.XMATCH($B$3,'Talnagögn | Numerical Data'!$45:$45))-1</f>
        <v>-2.1044260916470825E-2</v>
      </c>
      <c r="AM264" s="770" cm="1">
        <f t="array" ref="AM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Data'!$A:$A),_xlfn.XMATCH($B$4,'Talnagögn | Numerical Data'!$45:$45))</f>
        <v>-1.1783929475491703</v>
      </c>
      <c r="AN264" s="771"/>
      <c r="AO264" s="223" cm="1">
        <f t="array" ref="AO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Data'!$A:$A),_xlfn.XMATCH($B$4,'Talnagögn | Numerical Data'!$45:$45))-1</f>
        <v>-0.17018036878378084</v>
      </c>
      <c r="AP264" s="770" cm="1">
        <f t="array" ref="AP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Data'!$A:$A),_xlfn.XMATCH($B$5,'Talnagögn | Numerical Data'!$45:$45))</f>
        <v>-1.0911801977899422</v>
      </c>
      <c r="AQ264" s="771"/>
      <c r="AR264" s="224" cm="1">
        <f t="array" ref="AR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Data'!$A:$A),_xlfn.XMATCH($B$5,'Talnagögn | Numerical Data'!$45:$45))-1</f>
        <v>-0.15959544579337803</v>
      </c>
    </row>
    <row r="265" spans="1:44" s="1" customFormat="1" ht="21" customHeight="1" x14ac:dyDescent="0.25">
      <c r="A265" s="258" t="s">
        <v>69</v>
      </c>
      <c r="B265" s="5" t="s">
        <v>56</v>
      </c>
      <c r="C265" s="617" t="s">
        <v>56</v>
      </c>
      <c r="D265" s="538" t="str">
        <f>'Talnagögn | Numerical Data'!$D$55</f>
        <v xml:space="preserve">   Efnanotkun</v>
      </c>
      <c r="E265" s="774" cm="1">
        <f t="array" ref="E265">INDEX('Talnagögn | Numerical Data'!$1:$1048576,_xlfn.XMATCH($A265,'Talnagögn | Numerical Data'!$A:$A),_xlfn.XMATCH($B$2,'Talnagögn | Numerical Data'!$45:$45))</f>
        <v>3.8156973854066671</v>
      </c>
      <c r="F265" s="775"/>
      <c r="G265" s="227">
        <f>$E265/$E$266</f>
        <v>1.9607937762234776E-3</v>
      </c>
      <c r="H265" s="776" cm="1">
        <f t="array" ref="H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Data'!$A:$A),_xlfn.XMATCH($B$3,'Talnagögn | Numerical Data'!$45:$45))</f>
        <v>-0.35711293935233135</v>
      </c>
      <c r="I265" s="777"/>
      <c r="J265" s="578" cm="1">
        <f t="array" ref="J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Data'!$A:$A),_xlfn.XMATCH($B$3,'Talnagögn | Numerical Data'!$45:$45))-1</f>
        <v>-8.5580918268303163E-2</v>
      </c>
      <c r="K265" s="774" cm="1">
        <f t="array" ref="K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Data'!$A:$A),_xlfn.XMATCH($B$4,'Talnagögn | Numerical Data'!$45:$45))</f>
        <v>-2.3092526659903334</v>
      </c>
      <c r="L265" s="775"/>
      <c r="M265" s="228" cm="1">
        <f t="array" ref="M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Data'!$A:$A),_xlfn.XMATCH($B$4,'Talnagögn | Numerical Data'!$45:$45))-1</f>
        <v>-0.37702391800952417</v>
      </c>
      <c r="N265" s="774" cm="1">
        <f t="array" ref="N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Data'!$A:$A),_xlfn.XMATCH($B$5,'Talnagögn | Numerical Data'!$45:$45))</f>
        <v>-2.7897001328603319</v>
      </c>
      <c r="O265" s="775"/>
      <c r="P265" s="229" cm="1">
        <f t="array" ref="P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Data'!$A:$A),_xlfn.XMATCH($B$5,'Talnagögn | Numerical Data'!$45:$45))-1</f>
        <v>-0.4223364491153655</v>
      </c>
      <c r="Q265" s="818"/>
      <c r="R265" s="818"/>
      <c r="S265" s="8"/>
      <c r="T265" s="818"/>
      <c r="U265" s="818"/>
      <c r="V265" s="8"/>
      <c r="W265" s="818"/>
      <c r="X265" s="818"/>
      <c r="Y265" s="8"/>
      <c r="Z265" s="818"/>
      <c r="AA265" s="818"/>
      <c r="AC265" s="377"/>
      <c r="AF265" s="226" t="str">
        <f>'Talnagögn | Numerical Data'!E55</f>
        <v xml:space="preserve">   Product Use</v>
      </c>
      <c r="AG265" s="774" cm="1">
        <f t="array" ref="AG265">INDEX('Talnagögn | Numerical Data'!$1:$1048576,_xlfn.XMATCH($A265,'Talnagögn | Numerical Data'!$A:$A),_xlfn.XMATCH($B$2,'Talnagögn | Numerical Data'!$45:$45))</f>
        <v>3.8156973854066671</v>
      </c>
      <c r="AH265" s="775"/>
      <c r="AI265" s="227">
        <f>$E265/$E$266</f>
        <v>1.9607937762234776E-3</v>
      </c>
      <c r="AJ265" s="776" cm="1">
        <f t="array" ref="AJ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Data'!$A:$A),_xlfn.XMATCH($B$3,'Talnagögn | Numerical Data'!$45:$45))</f>
        <v>-0.35711293935233135</v>
      </c>
      <c r="AK265" s="777"/>
      <c r="AL265" s="578" cm="1">
        <f t="array" ref="AL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Data'!$A:$A),_xlfn.XMATCH($B$3,'Talnagögn | Numerical Data'!$45:$45))-1</f>
        <v>-8.5580918268303163E-2</v>
      </c>
      <c r="AM265" s="774" cm="1">
        <f t="array" ref="AM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Data'!$A:$A),_xlfn.XMATCH($B$4,'Talnagögn | Numerical Data'!$45:$45))</f>
        <v>-2.3092526659903334</v>
      </c>
      <c r="AN265" s="775"/>
      <c r="AO265" s="228" cm="1">
        <f t="array" ref="AO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Data'!$A:$A),_xlfn.XMATCH($B$4,'Talnagögn | Numerical Data'!$45:$45))-1</f>
        <v>-0.37702391800952417</v>
      </c>
      <c r="AP265" s="774" cm="1">
        <f t="array" ref="AP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Data'!$A:$A),_xlfn.XMATCH($B$5,'Talnagögn | Numerical Data'!$45:$45))</f>
        <v>-2.7897001328603319</v>
      </c>
      <c r="AQ265" s="775"/>
      <c r="AR265" s="229" cm="1">
        <f t="array" ref="AR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Data'!$A:$A),_xlfn.XMATCH($B$5,'Talnagögn | Numerical Data'!$45:$45))-1</f>
        <v>-0.4223364491153655</v>
      </c>
    </row>
    <row r="266" spans="1:44" ht="30" customHeight="1" x14ac:dyDescent="0.25">
      <c r="A266" s="258" t="s">
        <v>51</v>
      </c>
      <c r="B266" s="17" t="s">
        <v>56</v>
      </c>
      <c r="C266" s="617" t="s">
        <v>56</v>
      </c>
      <c r="D266" s="46" t="s">
        <v>13</v>
      </c>
      <c r="E266" s="710" cm="1">
        <f t="array" ref="E266">INDEX('Talnagögn | Numerical Data'!$1:$1048576,_xlfn.XMATCH($A266,'Talnagögn | Numerical Data'!$A:$A),_xlfn.XMATCH($B$2,'Talnagögn | Numerical Data'!$45:$45))</f>
        <v>1945.9962754246219</v>
      </c>
      <c r="F266" s="711"/>
      <c r="G266" s="47">
        <f>E266/$E$266</f>
        <v>1</v>
      </c>
      <c r="H266" s="710" cm="1">
        <f t="array" ref="H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Data'!$A:$A),_xlfn.XMATCH($B$3,'Talnagögn | Numerical Data'!$45:$45))</f>
        <v>-70.167350858161626</v>
      </c>
      <c r="I266" s="711"/>
      <c r="J266" s="53" cm="1">
        <f t="array" ref="J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Data'!$A:$A),_xlfn.XMATCH($B$3,'Talnagögn | Numerical Data'!$45:$45))-1</f>
        <v>-3.4802408863773504E-2</v>
      </c>
      <c r="K266" s="710" cm="1">
        <f t="array" ref="K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Data'!$A:$A),_xlfn.XMATCH($B$4,'Talnagögn | Numerical Data'!$45:$45))</f>
        <v>996.01300839665078</v>
      </c>
      <c r="L266" s="711"/>
      <c r="M266" s="47" cm="1">
        <f t="array" ref="M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Data'!$A:$A),_xlfn.XMATCH($B$4,'Talnagögn | Numerical Data'!$45:$45))-1</f>
        <v>1.0484532127736146</v>
      </c>
      <c r="N266" s="710" cm="1">
        <f t="array" ref="N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Data'!$A:$A),_xlfn.XMATCH($B$5,'Talnagögn | Numerical Data'!$45:$45))</f>
        <v>1043.6999997026019</v>
      </c>
      <c r="O266" s="711"/>
      <c r="P266" s="45" cm="1">
        <f t="array" ref="P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Data'!$A:$A),_xlfn.XMATCH($B$5,'Talnagögn | Numerical Data'!$45:$45))-1</f>
        <v>1.1567154024518498</v>
      </c>
      <c r="Q266" s="818"/>
      <c r="R266" s="818"/>
      <c r="S266" s="8"/>
      <c r="T266" s="712"/>
      <c r="U266" s="712"/>
      <c r="V266" s="12"/>
      <c r="W266" s="712"/>
      <c r="X266" s="712"/>
      <c r="Y266" s="12"/>
      <c r="Z266" s="712"/>
      <c r="AA266" s="712"/>
      <c r="AC266" s="383"/>
      <c r="AF266" s="46" t="s">
        <v>211</v>
      </c>
      <c r="AG266" s="710" cm="1">
        <f t="array" ref="AG266">INDEX('Talnagögn | Numerical Data'!$1:$1048576,_xlfn.XMATCH($A266,'Talnagögn | Numerical Data'!$A:$A),_xlfn.XMATCH($B$2,'Talnagögn | Numerical Data'!$45:$45))</f>
        <v>1945.9962754246219</v>
      </c>
      <c r="AH266" s="711"/>
      <c r="AI266" s="47">
        <f>AG266/$E$266</f>
        <v>1</v>
      </c>
      <c r="AJ266" s="710" cm="1">
        <f t="array" ref="AJ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Data'!$A:$A),_xlfn.XMATCH($B$3,'Talnagögn | Numerical Data'!$45:$45))</f>
        <v>-70.167350858161626</v>
      </c>
      <c r="AK266" s="711"/>
      <c r="AL266" s="53" cm="1">
        <f t="array" ref="AL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Data'!$A:$A),_xlfn.XMATCH($B$3,'Talnagögn | Numerical Data'!$45:$45))-1</f>
        <v>-3.4802408863773504E-2</v>
      </c>
      <c r="AM266" s="710" cm="1">
        <f t="array" ref="AM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Data'!$A:$A),_xlfn.XMATCH($B$4,'Talnagögn | Numerical Data'!$45:$45))</f>
        <v>996.01300839665078</v>
      </c>
      <c r="AN266" s="711"/>
      <c r="AO266" s="47" cm="1">
        <f t="array" ref="AO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Data'!$A:$A),_xlfn.XMATCH($B$4,'Talnagögn | Numerical Data'!$45:$45))-1</f>
        <v>1.0484532127736146</v>
      </c>
      <c r="AP266" s="710" cm="1">
        <f t="array" ref="AP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Data'!$A:$A),_xlfn.XMATCH($B$5,'Talnagögn | Numerical Data'!$45:$45))</f>
        <v>1043.6999997026019</v>
      </c>
      <c r="AQ266" s="711"/>
      <c r="AR266" s="45" cm="1">
        <f t="array" ref="AR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Data'!$A:$A),_xlfn.XMATCH($B$5,'Talnagögn | Numerical Data'!$45:$45))-1</f>
        <v>1.1567154024518498</v>
      </c>
    </row>
    <row r="267" spans="1:44" s="1" customFormat="1" x14ac:dyDescent="0.25">
      <c r="A267" s="262"/>
      <c r="C267" s="617" t="s">
        <v>56</v>
      </c>
      <c r="AC267" s="377"/>
    </row>
    <row r="268" spans="1:44" s="1" customFormat="1" x14ac:dyDescent="0.25">
      <c r="A268" s="262"/>
      <c r="C268" s="617" t="s">
        <v>56</v>
      </c>
      <c r="AC268" s="377"/>
    </row>
    <row r="269" spans="1:44" s="1" customFormat="1" x14ac:dyDescent="0.25">
      <c r="A269" s="262"/>
      <c r="C269" s="617" t="s">
        <v>56</v>
      </c>
      <c r="AC269" s="377"/>
    </row>
    <row r="270" spans="1:44" s="1" customFormat="1" x14ac:dyDescent="0.25">
      <c r="A270" s="262"/>
      <c r="C270" s="617" t="s">
        <v>56</v>
      </c>
      <c r="AC270" s="377"/>
    </row>
    <row r="271" spans="1:44" s="1" customFormat="1" x14ac:dyDescent="0.25">
      <c r="A271" s="262"/>
      <c r="C271" s="617" t="s">
        <v>56</v>
      </c>
      <c r="AC271" s="377"/>
    </row>
    <row r="272" spans="1:44" s="1" customFormat="1" x14ac:dyDescent="0.25">
      <c r="A272" s="262"/>
      <c r="C272" s="617" t="s">
        <v>56</v>
      </c>
      <c r="AC272" s="377"/>
    </row>
    <row r="273" spans="1:29" s="1" customFormat="1" x14ac:dyDescent="0.25">
      <c r="A273" s="262"/>
      <c r="C273" s="617" t="s">
        <v>56</v>
      </c>
      <c r="AC273" s="377"/>
    </row>
    <row r="274" spans="1:29" s="1" customFormat="1" x14ac:dyDescent="0.25">
      <c r="A274" s="262"/>
      <c r="C274" s="617" t="s">
        <v>56</v>
      </c>
      <c r="AC274" s="377"/>
    </row>
    <row r="275" spans="1:29" s="1" customFormat="1" x14ac:dyDescent="0.25">
      <c r="A275" s="262"/>
      <c r="C275" s="617" t="s">
        <v>56</v>
      </c>
      <c r="AC275" s="377"/>
    </row>
    <row r="276" spans="1:29" s="1" customFormat="1" x14ac:dyDescent="0.25">
      <c r="A276" s="262"/>
      <c r="C276" s="617" t="s">
        <v>56</v>
      </c>
      <c r="AC276" s="377"/>
    </row>
    <row r="277" spans="1:29" s="1" customFormat="1" ht="15" customHeight="1" x14ac:dyDescent="0.25">
      <c r="A277" s="262"/>
      <c r="C277" s="617" t="s">
        <v>56</v>
      </c>
      <c r="AC277" s="377"/>
    </row>
    <row r="278" spans="1:29" s="1" customFormat="1" ht="15" customHeight="1" x14ac:dyDescent="0.25">
      <c r="A278" s="262"/>
      <c r="C278" s="617" t="s">
        <v>56</v>
      </c>
      <c r="AC278" s="377"/>
    </row>
    <row r="279" spans="1:29" s="1" customFormat="1" ht="15" customHeight="1" x14ac:dyDescent="0.25">
      <c r="A279" s="262"/>
      <c r="C279" s="617" t="s">
        <v>56</v>
      </c>
      <c r="AC279" s="377"/>
    </row>
    <row r="280" spans="1:29" s="1" customFormat="1" x14ac:dyDescent="0.25">
      <c r="A280" s="262"/>
      <c r="C280" s="617" t="s">
        <v>56</v>
      </c>
      <c r="AC280" s="377"/>
    </row>
    <row r="281" spans="1:29" s="1" customFormat="1" x14ac:dyDescent="0.25">
      <c r="A281" s="262"/>
      <c r="C281" s="617" t="s">
        <v>56</v>
      </c>
      <c r="AC281" s="377"/>
    </row>
    <row r="282" spans="1:29" s="1" customFormat="1" x14ac:dyDescent="0.25">
      <c r="A282" s="262"/>
      <c r="C282" s="617" t="s">
        <v>56</v>
      </c>
      <c r="AC282" s="377"/>
    </row>
    <row r="283" spans="1:29" s="1" customFormat="1" x14ac:dyDescent="0.25">
      <c r="A283" s="262"/>
      <c r="C283" s="617" t="s">
        <v>56</v>
      </c>
      <c r="AC283" s="377"/>
    </row>
    <row r="284" spans="1:29" s="1" customFormat="1" x14ac:dyDescent="0.25">
      <c r="A284" s="262"/>
      <c r="C284" s="617" t="s">
        <v>56</v>
      </c>
      <c r="AC284" s="377"/>
    </row>
    <row r="285" spans="1:29" s="1" customFormat="1" x14ac:dyDescent="0.25">
      <c r="A285" s="262"/>
      <c r="C285" s="617" t="s">
        <v>56</v>
      </c>
      <c r="AC285" s="377"/>
    </row>
    <row r="286" spans="1:29" s="1" customFormat="1" x14ac:dyDescent="0.25">
      <c r="A286" s="262"/>
      <c r="C286" s="617" t="s">
        <v>56</v>
      </c>
      <c r="AC286" s="377"/>
    </row>
    <row r="287" spans="1:29" s="1" customFormat="1" x14ac:dyDescent="0.25">
      <c r="A287" s="262"/>
      <c r="C287" s="617" t="s">
        <v>56</v>
      </c>
      <c r="AC287" s="377"/>
    </row>
    <row r="288" spans="1:29" s="1" customFormat="1" x14ac:dyDescent="0.25">
      <c r="A288" s="262"/>
      <c r="C288" s="617" t="s">
        <v>56</v>
      </c>
      <c r="AC288" s="377"/>
    </row>
    <row r="289" spans="1:32" s="1" customFormat="1" x14ac:dyDescent="0.25">
      <c r="A289" s="262"/>
      <c r="C289" s="617" t="s">
        <v>56</v>
      </c>
      <c r="AC289" s="377"/>
    </row>
    <row r="290" spans="1:32" s="1" customFormat="1" x14ac:dyDescent="0.25">
      <c r="A290" s="262"/>
      <c r="C290" s="617" t="s">
        <v>56</v>
      </c>
      <c r="AC290" s="377"/>
    </row>
    <row r="291" spans="1:32" s="1" customFormat="1" x14ac:dyDescent="0.25">
      <c r="A291" s="262"/>
      <c r="C291" s="617" t="s">
        <v>56</v>
      </c>
      <c r="AC291" s="377"/>
    </row>
    <row r="292" spans="1:32" s="1" customFormat="1" x14ac:dyDescent="0.25">
      <c r="A292" s="262"/>
      <c r="C292" s="617" t="s">
        <v>56</v>
      </c>
      <c r="AC292" s="377"/>
    </row>
    <row r="293" spans="1:32" s="1" customFormat="1" x14ac:dyDescent="0.25">
      <c r="A293" s="262"/>
      <c r="C293" s="617" t="s">
        <v>56</v>
      </c>
      <c r="AC293" s="377"/>
    </row>
    <row r="294" spans="1:32" s="31" customFormat="1" ht="27" customHeight="1" x14ac:dyDescent="0.25">
      <c r="D294" s="594" t="s">
        <v>35</v>
      </c>
      <c r="AC294" s="428"/>
      <c r="AF294" s="594" t="s">
        <v>215</v>
      </c>
    </row>
    <row r="295" spans="1:32" s="1" customFormat="1" x14ac:dyDescent="0.25">
      <c r="A295" s="262"/>
      <c r="C295" s="617" t="s">
        <v>56</v>
      </c>
      <c r="AC295" s="377"/>
    </row>
    <row r="296" spans="1:32" s="1" customFormat="1" x14ac:dyDescent="0.25">
      <c r="A296" s="262"/>
      <c r="C296" s="617" t="s">
        <v>56</v>
      </c>
      <c r="AC296" s="377"/>
    </row>
    <row r="297" spans="1:32" s="1" customFormat="1" x14ac:dyDescent="0.25">
      <c r="A297" s="262"/>
      <c r="C297" s="617" t="s">
        <v>56</v>
      </c>
      <c r="AC297" s="377"/>
    </row>
    <row r="298" spans="1:32" s="1" customFormat="1" x14ac:dyDescent="0.25">
      <c r="A298" s="262"/>
      <c r="C298" s="617" t="s">
        <v>56</v>
      </c>
      <c r="AC298" s="377"/>
    </row>
    <row r="299" spans="1:32" s="1" customFormat="1" x14ac:dyDescent="0.25">
      <c r="A299" s="262"/>
      <c r="C299" s="617" t="s">
        <v>56</v>
      </c>
      <c r="AC299" s="377"/>
    </row>
    <row r="300" spans="1:32" s="1" customFormat="1" x14ac:dyDescent="0.25">
      <c r="A300" s="262"/>
      <c r="C300" s="617" t="s">
        <v>56</v>
      </c>
      <c r="AC300" s="377"/>
    </row>
    <row r="301" spans="1:32" s="1" customFormat="1" x14ac:dyDescent="0.25">
      <c r="A301" s="262"/>
      <c r="C301" s="617" t="s">
        <v>56</v>
      </c>
      <c r="AC301" s="377"/>
    </row>
    <row r="302" spans="1:32" s="1" customFormat="1" x14ac:dyDescent="0.25">
      <c r="A302" s="262"/>
      <c r="C302" s="617" t="s">
        <v>56</v>
      </c>
      <c r="AC302" s="377"/>
    </row>
    <row r="303" spans="1:32" s="1" customFormat="1" x14ac:dyDescent="0.25">
      <c r="A303" s="262"/>
      <c r="C303" s="617" t="s">
        <v>56</v>
      </c>
      <c r="AC303" s="377"/>
    </row>
    <row r="304" spans="1:32" s="1" customFormat="1" x14ac:dyDescent="0.25">
      <c r="A304" s="262"/>
      <c r="C304" s="617" t="s">
        <v>56</v>
      </c>
      <c r="AC304" s="377"/>
    </row>
    <row r="305" spans="1:29" s="1" customFormat="1" x14ac:dyDescent="0.25">
      <c r="A305" s="262"/>
      <c r="C305" s="617" t="s">
        <v>56</v>
      </c>
      <c r="AC305" s="377"/>
    </row>
    <row r="306" spans="1:29" s="1" customFormat="1" ht="15" customHeight="1" x14ac:dyDescent="0.25">
      <c r="A306" s="262"/>
      <c r="C306" s="617" t="s">
        <v>56</v>
      </c>
      <c r="AC306" s="377"/>
    </row>
    <row r="307" spans="1:29" s="1" customFormat="1" ht="15" customHeight="1" x14ac:dyDescent="0.25">
      <c r="A307" s="262"/>
      <c r="C307" s="617" t="s">
        <v>56</v>
      </c>
      <c r="AC307" s="377"/>
    </row>
    <row r="308" spans="1:29" s="1" customFormat="1" ht="15" customHeight="1" x14ac:dyDescent="0.25">
      <c r="A308" s="262"/>
      <c r="C308" s="617" t="s">
        <v>56</v>
      </c>
      <c r="AC308" s="377"/>
    </row>
    <row r="309" spans="1:29" s="1" customFormat="1" x14ac:dyDescent="0.25">
      <c r="A309" s="262"/>
      <c r="C309" s="617" t="s">
        <v>56</v>
      </c>
      <c r="AC309" s="377"/>
    </row>
    <row r="310" spans="1:29" s="1" customFormat="1" x14ac:dyDescent="0.25">
      <c r="A310" s="262"/>
      <c r="C310" s="617" t="s">
        <v>56</v>
      </c>
      <c r="AC310" s="377"/>
    </row>
    <row r="311" spans="1:29" s="1" customFormat="1" x14ac:dyDescent="0.25">
      <c r="A311" s="262"/>
      <c r="C311" s="617" t="s">
        <v>56</v>
      </c>
      <c r="AC311" s="377"/>
    </row>
    <row r="312" spans="1:29" s="1" customFormat="1" x14ac:dyDescent="0.25">
      <c r="A312" s="262"/>
      <c r="C312" s="617" t="s">
        <v>56</v>
      </c>
      <c r="AC312" s="377"/>
    </row>
    <row r="313" spans="1:29" s="1" customFormat="1" x14ac:dyDescent="0.25">
      <c r="A313" s="262"/>
      <c r="C313" s="617" t="s">
        <v>56</v>
      </c>
      <c r="AC313" s="377"/>
    </row>
    <row r="314" spans="1:29" s="1" customFormat="1" x14ac:dyDescent="0.25">
      <c r="A314" s="262"/>
      <c r="C314" s="617" t="s">
        <v>56</v>
      </c>
      <c r="AC314" s="377"/>
    </row>
    <row r="315" spans="1:29" s="1" customFormat="1" x14ac:dyDescent="0.25">
      <c r="A315" s="262"/>
      <c r="C315" s="617" t="s">
        <v>56</v>
      </c>
      <c r="AC315" s="377"/>
    </row>
    <row r="316" spans="1:29" s="1" customFormat="1" x14ac:dyDescent="0.25">
      <c r="A316" s="262"/>
      <c r="C316" s="617" t="s">
        <v>56</v>
      </c>
      <c r="AC316" s="377"/>
    </row>
    <row r="317" spans="1:29" s="1" customFormat="1" x14ac:dyDescent="0.25">
      <c r="A317" s="262"/>
      <c r="C317" s="617" t="s">
        <v>56</v>
      </c>
      <c r="AC317" s="377"/>
    </row>
    <row r="318" spans="1:29" s="1" customFormat="1" x14ac:dyDescent="0.25">
      <c r="A318" s="262"/>
      <c r="C318" s="617" t="s">
        <v>56</v>
      </c>
      <c r="AC318" s="377"/>
    </row>
    <row r="319" spans="1:29" s="1" customFormat="1" x14ac:dyDescent="0.25">
      <c r="A319" s="262"/>
      <c r="C319" s="617" t="s">
        <v>56</v>
      </c>
      <c r="AC319" s="377"/>
    </row>
    <row r="320" spans="1:29" s="1" customFormat="1" x14ac:dyDescent="0.25">
      <c r="A320" s="262"/>
      <c r="C320" s="617" t="s">
        <v>56</v>
      </c>
      <c r="AC320" s="377"/>
    </row>
    <row r="321" spans="1:54" s="1" customFormat="1" x14ac:dyDescent="0.25">
      <c r="A321" s="262"/>
      <c r="C321" s="617" t="s">
        <v>56</v>
      </c>
      <c r="AC321" s="377"/>
    </row>
    <row r="322" spans="1:54" s="1" customFormat="1" x14ac:dyDescent="0.25">
      <c r="A322" s="262"/>
      <c r="C322" s="617" t="s">
        <v>56</v>
      </c>
      <c r="AC322" s="377"/>
    </row>
    <row r="323" spans="1:54" s="1" customFormat="1" x14ac:dyDescent="0.25">
      <c r="A323" s="262"/>
      <c r="C323" s="617" t="s">
        <v>56</v>
      </c>
      <c r="AC323" s="377"/>
    </row>
    <row r="324" spans="1:54" s="1" customFormat="1" x14ac:dyDescent="0.25">
      <c r="A324" s="262"/>
      <c r="C324" s="617" t="s">
        <v>56</v>
      </c>
      <c r="AC324" s="377"/>
    </row>
    <row r="325" spans="1:54" s="321" customFormat="1" ht="82.5" customHeight="1" x14ac:dyDescent="0.25">
      <c r="D325" s="829" t="s">
        <v>49</v>
      </c>
      <c r="E325" s="829"/>
      <c r="F325" s="829"/>
      <c r="G325" s="829"/>
      <c r="H325" s="829"/>
      <c r="I325" s="829"/>
      <c r="J325" s="829"/>
      <c r="K325" s="829"/>
      <c r="L325" s="829"/>
      <c r="M325" s="829"/>
      <c r="N325" s="829"/>
      <c r="O325" s="829"/>
      <c r="P325" s="829"/>
      <c r="Q325" s="829"/>
      <c r="AC325" s="429"/>
      <c r="AF325" s="321" t="s">
        <v>239</v>
      </c>
      <c r="AY325" s="323"/>
      <c r="AZ325" s="323"/>
      <c r="BA325" s="323"/>
      <c r="BB325" s="323"/>
    </row>
    <row r="326" spans="1:54" s="1" customFormat="1" x14ac:dyDescent="0.25">
      <c r="A326" s="262"/>
      <c r="C326" s="617" t="s">
        <v>56</v>
      </c>
      <c r="AC326" s="377"/>
    </row>
    <row r="327" spans="1:54" s="1" customFormat="1" ht="33" customHeight="1" x14ac:dyDescent="0.25">
      <c r="A327" s="262"/>
      <c r="C327" s="617" t="s">
        <v>56</v>
      </c>
      <c r="D327" s="730" t="str">
        <f>$D$182</f>
        <v>Losun árið 2023 í samanburði við losun fyrri ára</v>
      </c>
      <c r="E327" s="730"/>
      <c r="F327" s="730"/>
      <c r="G327" s="730"/>
      <c r="H327" s="730"/>
      <c r="I327" s="730"/>
      <c r="J327" s="730"/>
      <c r="K327" s="730"/>
      <c r="L327" s="730"/>
      <c r="M327" s="730"/>
      <c r="N327" s="730"/>
      <c r="O327" s="730"/>
      <c r="P327" s="730"/>
      <c r="AC327" s="377"/>
      <c r="AF327" s="730" t="str">
        <f>$AF$4</f>
        <v>Emissions in 2023 compared to emissions in previous years</v>
      </c>
      <c r="AG327" s="730"/>
      <c r="AH327" s="730"/>
      <c r="AI327" s="730"/>
      <c r="AJ327" s="730"/>
      <c r="AK327" s="730"/>
      <c r="AL327" s="730"/>
      <c r="AM327" s="730"/>
      <c r="AN327" s="730"/>
      <c r="AO327" s="730"/>
      <c r="AP327" s="730"/>
      <c r="AQ327" s="730"/>
      <c r="AR327" s="730"/>
    </row>
    <row r="328" spans="1:54" s="1" customFormat="1" ht="29.1" customHeight="1" x14ac:dyDescent="0.25">
      <c r="A328" s="262"/>
      <c r="C328" s="617" t="s">
        <v>56</v>
      </c>
      <c r="D328" s="324"/>
      <c r="E328" s="826" t="str">
        <f>"Losun "&amp;$B$2</f>
        <v>Losun 2023</v>
      </c>
      <c r="F328" s="827"/>
      <c r="G328" s="828"/>
      <c r="H328" s="826" t="str">
        <f>"Breyting frá "&amp;$B$3</f>
        <v>Breyting frá 2022</v>
      </c>
      <c r="I328" s="827"/>
      <c r="J328" s="828"/>
      <c r="K328" s="826" t="str">
        <f>"Breyting frá "&amp;$B$4</f>
        <v>Breyting frá 2005</v>
      </c>
      <c r="L328" s="827"/>
      <c r="M328" s="828"/>
      <c r="N328" s="826" t="str">
        <f>"Breyting frá "&amp;$B$5</f>
        <v>Breyting frá 1990</v>
      </c>
      <c r="O328" s="827"/>
      <c r="P328" s="827"/>
      <c r="AC328" s="377"/>
      <c r="AF328" s="324"/>
      <c r="AG328" s="734" t="str">
        <f>"Emissions in "&amp;$B$2</f>
        <v>Emissions in 2023</v>
      </c>
      <c r="AH328" s="735"/>
      <c r="AI328" s="736"/>
      <c r="AJ328" s="734" t="str">
        <f>"Change from "&amp;$B$3</f>
        <v>Change from 2022</v>
      </c>
      <c r="AK328" s="735"/>
      <c r="AL328" s="736"/>
      <c r="AM328" s="734" t="str">
        <f>"Change from "&amp;$B$4</f>
        <v>Change from 2005</v>
      </c>
      <c r="AN328" s="735"/>
      <c r="AO328" s="736"/>
      <c r="AP328" s="734" t="str">
        <f>"Change from "&amp;$B$5</f>
        <v>Change from 1990</v>
      </c>
      <c r="AQ328" s="735"/>
      <c r="AR328" s="735"/>
    </row>
    <row r="329" spans="1:54" s="1" customFormat="1" x14ac:dyDescent="0.25">
      <c r="A329" s="262"/>
      <c r="C329" s="617" t="s">
        <v>56</v>
      </c>
      <c r="D329" s="324"/>
      <c r="E329" s="732" t="s">
        <v>5</v>
      </c>
      <c r="F329" s="732"/>
      <c r="G329" s="326" t="s">
        <v>4</v>
      </c>
      <c r="H329" s="732" t="s">
        <v>5</v>
      </c>
      <c r="I329" s="732"/>
      <c r="J329" s="326" t="s">
        <v>4</v>
      </c>
      <c r="K329" s="732" t="s">
        <v>5</v>
      </c>
      <c r="L329" s="732"/>
      <c r="M329" s="326" t="s">
        <v>4</v>
      </c>
      <c r="N329" s="732" t="s">
        <v>5</v>
      </c>
      <c r="O329" s="732"/>
      <c r="P329" s="325" t="s">
        <v>4</v>
      </c>
      <c r="AC329" s="377"/>
      <c r="AF329" s="324"/>
      <c r="AG329" s="731" t="s">
        <v>204</v>
      </c>
      <c r="AH329" s="732"/>
      <c r="AI329" s="326" t="s">
        <v>4</v>
      </c>
      <c r="AJ329" s="731" t="s">
        <v>204</v>
      </c>
      <c r="AK329" s="732"/>
      <c r="AL329" s="326" t="s">
        <v>4</v>
      </c>
      <c r="AM329" s="731" t="s">
        <v>204</v>
      </c>
      <c r="AN329" s="732"/>
      <c r="AO329" s="326" t="s">
        <v>4</v>
      </c>
      <c r="AP329" s="731" t="s">
        <v>204</v>
      </c>
      <c r="AQ329" s="732"/>
      <c r="AR329" s="325" t="s">
        <v>4</v>
      </c>
    </row>
    <row r="330" spans="1:54" s="1" customFormat="1" ht="21" customHeight="1" x14ac:dyDescent="0.25">
      <c r="A330" s="251" t="s">
        <v>70</v>
      </c>
      <c r="C330" s="617" t="s">
        <v>56</v>
      </c>
      <c r="D330" s="122" t="str">
        <f>'Talnagögn | Numerical Data'!$D$61</f>
        <v>Iðragerjun</v>
      </c>
      <c r="E330" s="728" cm="1">
        <f t="array" ref="E330">INDEX('Talnagögn | Numerical Data'!$1:$1048576,_xlfn.XMATCH($A330,'Talnagögn | Numerical Data'!$A:$A),_xlfn.XMATCH($B$2,'Talnagögn | Numerical Data'!$59:$59))</f>
        <v>296.65361728195182</v>
      </c>
      <c r="F330" s="728"/>
      <c r="G330" s="44">
        <f>$E$330/$E$334</f>
        <v>0.4275195121726843</v>
      </c>
      <c r="H330" s="729" cm="1">
        <f t="array" ref="H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Data'!$A:$A),_xlfn.XMATCH($B$3,'Talnagögn | Numerical Data'!$59:$59))</f>
        <v>-7.513795270871185</v>
      </c>
      <c r="I330" s="721"/>
      <c r="J330" s="52" cm="1">
        <f t="array" ref="J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Data'!$A:$A),_xlfn.XMATCH($B$3,'Talnagögn | Numerical Data'!$59:$59))-1</f>
        <v>-2.470282798479051E-2</v>
      </c>
      <c r="K330" s="729" cm="1">
        <f t="array" ref="K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Data'!$A:$A),_xlfn.XMATCH($B$4,'Talnagögn | Numerical Data'!$59:$59))</f>
        <v>-19.422259989785516</v>
      </c>
      <c r="L330" s="721"/>
      <c r="M330" s="52" cm="1">
        <f t="array" ref="M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Data'!$A:$A),_xlfn.XMATCH($B$4,'Talnagögn | Numerical Data'!$59:$59))-1</f>
        <v>-6.1448093278841931E-2</v>
      </c>
      <c r="N330" s="729" cm="1">
        <f t="array" ref="N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Data'!$A:$A),_xlfn.XMATCH($B$5,'Talnagögn | Numerical Data'!$59:$59))</f>
        <v>-82.005701323936307</v>
      </c>
      <c r="O330" s="721"/>
      <c r="P330" s="8" cm="1">
        <f t="array" ref="P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Data'!$A:$A),_xlfn.XMATCH($B$5,'Talnagögn | Numerical Data'!$59:$59))-1</f>
        <v>-0.21656855462017177</v>
      </c>
      <c r="Q330" s="818"/>
      <c r="R330" s="818"/>
      <c r="S330" s="8"/>
      <c r="T330" s="818"/>
      <c r="U330" s="818"/>
      <c r="V330" s="8"/>
      <c r="W330" s="818"/>
      <c r="X330" s="818"/>
      <c r="Y330" s="8"/>
      <c r="Z330" s="818"/>
      <c r="AA330" s="818"/>
      <c r="AC330" s="377"/>
      <c r="AF330" s="443" t="str">
        <f>'Talnagögn | Numerical Data'!$E61</f>
        <v>Enteric Fermentation</v>
      </c>
      <c r="AG330" s="728" cm="1">
        <f t="array" ref="AG330">INDEX('Talnagögn | Numerical Data'!$1:$1048576,_xlfn.XMATCH($A330,'Talnagögn | Numerical Data'!$A:$A),_xlfn.XMATCH($B$2,'Talnagögn | Numerical Data'!$59:$59))</f>
        <v>296.65361728195182</v>
      </c>
      <c r="AH330" s="728"/>
      <c r="AI330" s="44">
        <f>$E$330/$E$334</f>
        <v>0.4275195121726843</v>
      </c>
      <c r="AJ330" s="729" cm="1">
        <f t="array" ref="AJ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Data'!$A:$A),_xlfn.XMATCH($B$3,'Talnagögn | Numerical Data'!$59:$59))</f>
        <v>-7.513795270871185</v>
      </c>
      <c r="AK330" s="721"/>
      <c r="AL330" s="52" cm="1">
        <f t="array" ref="AL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Data'!$A:$A),_xlfn.XMATCH($B$3,'Talnagögn | Numerical Data'!$59:$59))-1</f>
        <v>-2.470282798479051E-2</v>
      </c>
      <c r="AM330" s="729" cm="1">
        <f t="array" ref="AM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Data'!$A:$A),_xlfn.XMATCH($B$4,'Talnagögn | Numerical Data'!$59:$59))</f>
        <v>-19.422259989785516</v>
      </c>
      <c r="AN330" s="721"/>
      <c r="AO330" s="52" cm="1">
        <f t="array" ref="AO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Data'!$A:$A),_xlfn.XMATCH($B$4,'Talnagögn | Numerical Data'!$59:$59))-1</f>
        <v>-6.1448093278841931E-2</v>
      </c>
      <c r="AP330" s="729" cm="1">
        <f t="array" ref="AP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Data'!$A:$A),_xlfn.XMATCH($B$5,'Talnagögn | Numerical Data'!$59:$59))</f>
        <v>-82.005701323936307</v>
      </c>
      <c r="AQ330" s="721"/>
      <c r="AR330" s="8" cm="1">
        <f t="array" ref="AR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Data'!$A:$A),_xlfn.XMATCH($B$5,'Talnagögn | Numerical Data'!$59:$59))-1</f>
        <v>-0.21656855462017177</v>
      </c>
    </row>
    <row r="331" spans="1:54" s="1" customFormat="1" ht="21" customHeight="1" x14ac:dyDescent="0.25">
      <c r="A331" s="251" t="s">
        <v>71</v>
      </c>
      <c r="C331" s="617" t="s">
        <v>56</v>
      </c>
      <c r="D331" s="122" t="str">
        <f>'Talnagögn | Numerical Data'!$D$62</f>
        <v>Meðhöndlun húsdýraáburðar</v>
      </c>
      <c r="E331" s="729" cm="1">
        <f t="array" ref="E331">INDEX('Talnagögn | Numerical Data'!$1:$1048576,_xlfn.XMATCH($A331,'Talnagögn | Numerical Data'!$A:$A),_xlfn.XMATCH($B$2,'Talnagögn | Numerical Data'!$59:$59))</f>
        <v>71.550937732966503</v>
      </c>
      <c r="F331" s="721"/>
      <c r="G331" s="44">
        <f>$E$331/$E$334</f>
        <v>0.10311494690463358</v>
      </c>
      <c r="H331" s="737" cm="1">
        <f t="array" ref="H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Data'!$A:$A),_xlfn.XMATCH($B$3,'Talnagögn | Numerical Data'!$59:$59))</f>
        <v>-1.4729965928822111</v>
      </c>
      <c r="I331" s="738"/>
      <c r="J331" s="52" cm="1">
        <f t="array" ref="J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Data'!$A:$A),_xlfn.XMATCH($B$3,'Talnagögn | Numerical Data'!$59:$59))-1</f>
        <v>-2.0171421965699321E-2</v>
      </c>
      <c r="K331" s="737" cm="1">
        <f t="array" ref="K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Data'!$A:$A),_xlfn.XMATCH($B$4,'Talnagögn | Numerical Data'!$59:$59))</f>
        <v>-3.9280432200503981</v>
      </c>
      <c r="L331" s="738"/>
      <c r="M331" s="52" cm="1">
        <f t="array" ref="M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Data'!$A:$A),_xlfn.XMATCH($B$4,'Talnagögn | Numerical Data'!$59:$59))-1</f>
        <v>-5.2041550779487467E-2</v>
      </c>
      <c r="N331" s="729" cm="1">
        <f t="array" ref="N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Data'!$A:$A),_xlfn.XMATCH($B$5,'Talnagögn | Numerical Data'!$59:$59))</f>
        <v>-21.572101194063109</v>
      </c>
      <c r="O331" s="721"/>
      <c r="P331" s="8" cm="1">
        <f t="array" ref="P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Data'!$A:$A),_xlfn.XMATCH($B$5,'Talnagögn | Numerical Data'!$59:$59))-1</f>
        <v>-0.2316516024672135</v>
      </c>
      <c r="Q331" s="818"/>
      <c r="R331" s="818"/>
      <c r="S331" s="8"/>
      <c r="T331" s="818"/>
      <c r="U331" s="818"/>
      <c r="V331" s="8"/>
      <c r="W331" s="818"/>
      <c r="X331" s="818"/>
      <c r="Y331" s="8"/>
      <c r="Z331" s="818"/>
      <c r="AA331" s="818"/>
      <c r="AC331" s="377"/>
      <c r="AF331" s="418" t="str">
        <f>'Talnagögn | Numerical Data'!$E62</f>
        <v>Manure Management</v>
      </c>
      <c r="AG331" s="729" cm="1">
        <f t="array" ref="AG331">INDEX('Talnagögn | Numerical Data'!$1:$1048576,_xlfn.XMATCH($A331,'Talnagögn | Numerical Data'!$A:$A),_xlfn.XMATCH($B$2,'Talnagögn | Numerical Data'!$59:$59))</f>
        <v>71.550937732966503</v>
      </c>
      <c r="AH331" s="721"/>
      <c r="AI331" s="44">
        <f>$E$331/$E$334</f>
        <v>0.10311494690463358</v>
      </c>
      <c r="AJ331" s="737" cm="1">
        <f t="array" ref="AJ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Data'!$A:$A),_xlfn.XMATCH($B$3,'Talnagögn | Numerical Data'!$59:$59))</f>
        <v>-1.4729965928822111</v>
      </c>
      <c r="AK331" s="738"/>
      <c r="AL331" s="52" cm="1">
        <f t="array" ref="AL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Data'!$A:$A),_xlfn.XMATCH($B$3,'Talnagögn | Numerical Data'!$59:$59))-1</f>
        <v>-2.0171421965699321E-2</v>
      </c>
      <c r="AM331" s="737" cm="1">
        <f t="array" ref="AM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Data'!$A:$A),_xlfn.XMATCH($B$4,'Talnagögn | Numerical Data'!$59:$59))</f>
        <v>-3.9280432200503981</v>
      </c>
      <c r="AN331" s="738"/>
      <c r="AO331" s="52" cm="1">
        <f t="array" ref="AO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Data'!$A:$A),_xlfn.XMATCH($B$4,'Talnagögn | Numerical Data'!$59:$59))-1</f>
        <v>-5.2041550779487467E-2</v>
      </c>
      <c r="AP331" s="729" cm="1">
        <f t="array" ref="AP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Data'!$A:$A),_xlfn.XMATCH($B$5,'Talnagögn | Numerical Data'!$59:$59))</f>
        <v>-21.572101194063109</v>
      </c>
      <c r="AQ331" s="721"/>
      <c r="AR331" s="8" cm="1">
        <f t="array" ref="AR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Data'!$A:$A),_xlfn.XMATCH($B$5,'Talnagögn | Numerical Data'!$59:$59))-1</f>
        <v>-0.2316516024672135</v>
      </c>
    </row>
    <row r="332" spans="1:54" s="1" customFormat="1" ht="21" customHeight="1" x14ac:dyDescent="0.25">
      <c r="A332" s="251" t="s">
        <v>72</v>
      </c>
      <c r="C332" s="617" t="s">
        <v>56</v>
      </c>
      <c r="D332" s="122" t="str">
        <f>'Talnagögn | Numerical Data'!$D$63</f>
        <v>Nytjajarðvegur</v>
      </c>
      <c r="E332" s="729" cm="1">
        <f t="array" ref="E332">INDEX('Talnagögn | Numerical Data'!$1:$1048576,_xlfn.XMATCH($A332,'Talnagögn | Numerical Data'!$A:$A),_xlfn.XMATCH($B$2,'Talnagögn | Numerical Data'!$59:$59))</f>
        <v>317.81139122299118</v>
      </c>
      <c r="F332" s="721"/>
      <c r="G332" s="44">
        <f>$E$332/$E$334</f>
        <v>0.45801083493763139</v>
      </c>
      <c r="H332" s="729" cm="1">
        <f t="array" ref="H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Data'!$A:$A),_xlfn.XMATCH($B$3,'Talnagögn | Numerical Data'!$59:$59))</f>
        <v>-12.29140150114074</v>
      </c>
      <c r="I332" s="721"/>
      <c r="J332" s="52" cm="1">
        <f t="array" ref="J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Data'!$A:$A),_xlfn.XMATCH($B$3,'Talnagögn | Numerical Data'!$59:$59))-1</f>
        <v>-3.7235072747211495E-2</v>
      </c>
      <c r="K332" s="737" cm="1">
        <f t="array" ref="K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Data'!$A:$A),_xlfn.XMATCH($B$4,'Talnagögn | Numerical Data'!$59:$59))</f>
        <v>2.7659152114210883</v>
      </c>
      <c r="L332" s="738"/>
      <c r="M332" s="115" cm="1">
        <f t="array" ref="M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Data'!$A:$A),_xlfn.XMATCH($B$4,'Talnagögn | Numerical Data'!$59:$59))-1</f>
        <v>8.7794157416165586E-3</v>
      </c>
      <c r="N332" s="729" cm="1">
        <f t="array" ref="N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Data'!$A:$A),_xlfn.XMATCH($B$5,'Talnagögn | Numerical Data'!$59:$59))</f>
        <v>32.351012621347991</v>
      </c>
      <c r="O332" s="721"/>
      <c r="P332" s="8" cm="1">
        <f t="array" ref="P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Data'!$A:$A),_xlfn.XMATCH($B$5,'Talnagögn | Numerical Data'!$59:$59))-1</f>
        <v>0.11332925704023356</v>
      </c>
      <c r="Q332" s="818"/>
      <c r="R332" s="818"/>
      <c r="S332" s="8"/>
      <c r="T332" s="818"/>
      <c r="U332" s="818"/>
      <c r="V332" s="8"/>
      <c r="W332" s="818"/>
      <c r="X332" s="818"/>
      <c r="Y332" s="8"/>
      <c r="Z332" s="818"/>
      <c r="AA332" s="818"/>
      <c r="AC332" s="377"/>
      <c r="AF332" s="418" t="str">
        <f>'Talnagögn | Numerical Data'!$E63</f>
        <v>Agricultural Soils</v>
      </c>
      <c r="AG332" s="729" cm="1">
        <f t="array" ref="AG332">INDEX('Talnagögn | Numerical Data'!$1:$1048576,_xlfn.XMATCH($A332,'Talnagögn | Numerical Data'!$A:$A),_xlfn.XMATCH($B$2,'Talnagögn | Numerical Data'!$59:$59))</f>
        <v>317.81139122299118</v>
      </c>
      <c r="AH332" s="721"/>
      <c r="AI332" s="44">
        <f>$E$332/$E$334</f>
        <v>0.45801083493763139</v>
      </c>
      <c r="AJ332" s="729" cm="1">
        <f t="array" ref="AJ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Data'!$A:$A),_xlfn.XMATCH($B$3,'Talnagögn | Numerical Data'!$59:$59))</f>
        <v>-12.29140150114074</v>
      </c>
      <c r="AK332" s="721"/>
      <c r="AL332" s="52" cm="1">
        <f t="array" ref="AL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Data'!$A:$A),_xlfn.XMATCH($B$3,'Talnagögn | Numerical Data'!$59:$59))-1</f>
        <v>-3.7235072747211495E-2</v>
      </c>
      <c r="AM332" s="737" cm="1">
        <f t="array" ref="AM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Data'!$A:$A),_xlfn.XMATCH($B$4,'Talnagögn | Numerical Data'!$59:$59))</f>
        <v>2.7659152114210883</v>
      </c>
      <c r="AN332" s="738"/>
      <c r="AO332" s="115" cm="1">
        <f t="array" ref="AO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Data'!$A:$A),_xlfn.XMATCH($B$4,'Talnagögn | Numerical Data'!$59:$59))-1</f>
        <v>8.7794157416165586E-3</v>
      </c>
      <c r="AP332" s="729" cm="1">
        <f t="array" ref="AP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Data'!$A:$A),_xlfn.XMATCH($B$5,'Talnagögn | Numerical Data'!$59:$59))</f>
        <v>32.351012621347991</v>
      </c>
      <c r="AQ332" s="721"/>
      <c r="AR332" s="8" cm="1">
        <f t="array" ref="AR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Data'!$A:$A),_xlfn.XMATCH($B$5,'Talnagögn | Numerical Data'!$59:$59))-1</f>
        <v>0.11332925704023356</v>
      </c>
    </row>
    <row r="333" spans="1:54" s="1" customFormat="1" ht="21" customHeight="1" x14ac:dyDescent="0.25">
      <c r="A333" s="211" t="s">
        <v>122</v>
      </c>
      <c r="C333" s="617" t="s">
        <v>56</v>
      </c>
      <c r="D333" s="539" t="str">
        <f>'Talnagögn | Numerical Data'!$D$64</f>
        <v>Kölkun og CO₂-losun frá áburði</v>
      </c>
      <c r="E333" s="753" cm="1">
        <f t="array" ref="E333">INDEX('Talnagögn | Numerical Data'!$1:$1048576,_xlfn.XMATCH($A333,'Talnagögn | Numerical Data'!$A:$A),_xlfn.XMATCH($B$2,'Talnagögn | Numerical Data'!$59:$59))</f>
        <v>7.8789727900833508</v>
      </c>
      <c r="F333" s="754"/>
      <c r="G333" s="105">
        <f>$E$333/$E$334</f>
        <v>1.1354705985050596E-2</v>
      </c>
      <c r="H333" s="753" cm="1">
        <f t="array" ref="H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Data'!$A:$A),_xlfn.XMATCH($B$3,'Talnagögn | Numerical Data'!$59:$59))</f>
        <v>1.8910894857912837</v>
      </c>
      <c r="I333" s="754"/>
      <c r="J333" s="101" cm="1">
        <f t="array" ref="J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Data'!$A:$A),_xlfn.XMATCH($B$3,'Talnagögn | Numerical Data'!$59:$59))-1</f>
        <v>0.31581936215018858</v>
      </c>
      <c r="K333" s="753" cm="1">
        <f t="array" ref="K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Data'!$A:$A),_xlfn.XMATCH($B$4,'Talnagögn | Numerical Data'!$59:$59))</f>
        <v>3.3463201342808819</v>
      </c>
      <c r="L333" s="754"/>
      <c r="M333" s="101" cm="1">
        <f t="array" ref="M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Data'!$A:$A),_xlfn.XMATCH($B$4,'Talnagögn | Numerical Data'!$59:$59))-1</f>
        <v>0.73826970394413416</v>
      </c>
      <c r="N333" s="753" cm="1">
        <f t="array" ref="N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Data'!$A:$A),_xlfn.XMATCH($B$5,'Talnagögn | Numerical Data'!$59:$59))</f>
        <v>7.8558727900833505</v>
      </c>
      <c r="O333" s="754"/>
      <c r="P333" s="99" cm="1">
        <f t="array" ref="P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Data'!$A:$A),_xlfn.XMATCH($B$5,'Talnagögn | Numerical Data'!$59:$59))-1</f>
        <v>340.08107316378141</v>
      </c>
      <c r="Q333" s="818"/>
      <c r="R333" s="818"/>
      <c r="S333" s="8"/>
      <c r="T333" s="818"/>
      <c r="U333" s="818"/>
      <c r="V333" s="8"/>
      <c r="W333" s="818"/>
      <c r="X333" s="818"/>
      <c r="Y333" s="8"/>
      <c r="Z333" s="818"/>
      <c r="AA333" s="818"/>
      <c r="AC333" s="377"/>
      <c r="AF333" s="444" t="str">
        <f>'Talnagögn | Numerical Data'!$E64</f>
        <v>Liming and CO₂-Emissions from Fertilizers</v>
      </c>
      <c r="AG333" s="753" cm="1">
        <f t="array" ref="AG333">INDEX('Talnagögn | Numerical Data'!$1:$1048576,_xlfn.XMATCH($A333,'Talnagögn | Numerical Data'!$A:$A),_xlfn.XMATCH($B$2,'Talnagögn | Numerical Data'!$59:$59))</f>
        <v>7.8789727900833508</v>
      </c>
      <c r="AH333" s="754"/>
      <c r="AI333" s="105">
        <f>$E$333/$E$334</f>
        <v>1.1354705985050596E-2</v>
      </c>
      <c r="AJ333" s="753" cm="1">
        <f t="array" ref="AJ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Data'!$A:$A),_xlfn.XMATCH($B$3,'Talnagögn | Numerical Data'!$59:$59))</f>
        <v>1.8910894857912837</v>
      </c>
      <c r="AK333" s="754"/>
      <c r="AL333" s="101" cm="1">
        <f t="array" ref="AL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Data'!$A:$A),_xlfn.XMATCH($B$3,'Talnagögn | Numerical Data'!$59:$59))-1</f>
        <v>0.31581936215018858</v>
      </c>
      <c r="AM333" s="753" cm="1">
        <f t="array" ref="AM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Data'!$A:$A),_xlfn.XMATCH($B$4,'Talnagögn | Numerical Data'!$59:$59))</f>
        <v>3.3463201342808819</v>
      </c>
      <c r="AN333" s="754"/>
      <c r="AO333" s="101" cm="1">
        <f t="array" ref="AO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Data'!$A:$A),_xlfn.XMATCH($B$4,'Talnagögn | Numerical Data'!$59:$59))-1</f>
        <v>0.73826970394413416</v>
      </c>
      <c r="AP333" s="753" cm="1">
        <f t="array" ref="AP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Data'!$A:$A),_xlfn.XMATCH($B$5,'Talnagögn | Numerical Data'!$59:$59))</f>
        <v>7.8558727900833505</v>
      </c>
      <c r="AQ333" s="754"/>
      <c r="AR333" s="99" cm="1">
        <f t="array" ref="AR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Data'!$A:$A),_xlfn.XMATCH($B$5,'Talnagögn | Numerical Data'!$59:$59))-1</f>
        <v>340.08107316378141</v>
      </c>
    </row>
    <row r="334" spans="1:54" ht="28.5" customHeight="1" x14ac:dyDescent="0.25">
      <c r="A334" s="258" t="s">
        <v>52</v>
      </c>
      <c r="B334" s="17" t="s">
        <v>56</v>
      </c>
      <c r="C334" s="617" t="s">
        <v>56</v>
      </c>
      <c r="D334" s="46" t="s">
        <v>13</v>
      </c>
      <c r="E334" s="710" cm="1">
        <f t="array" ref="E334">INDEX('Talnagögn | Numerical Data'!$1:$1048576,_xlfn.XMATCH($A334,'Talnagögn | Numerical Data'!$A:$A),_xlfn.XMATCH($B$2,'Talnagögn | Numerical Data'!$59:$59))</f>
        <v>693.89491902799296</v>
      </c>
      <c r="F334" s="711"/>
      <c r="G334" s="47">
        <f>SUM($G$330:$G$333)</f>
        <v>0.99999999999999989</v>
      </c>
      <c r="H334" s="710" cm="1">
        <f t="array" ref="H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Data'!$A:$A),_xlfn.XMATCH($B$3,'Talnagögn | Numerical Data'!$59:$59))</f>
        <v>-19.387103879102824</v>
      </c>
      <c r="I334" s="711"/>
      <c r="J334" s="53" cm="1">
        <f t="array" ref="J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Data'!$A:$A),_xlfn.XMATCH($B$3,'Talnagögn | Numerical Data'!$59:$59))-1</f>
        <v>-2.7180138089121564E-2</v>
      </c>
      <c r="K334" s="710" cm="1">
        <f t="array" ref="K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Data'!$A:$A),_xlfn.XMATCH($B$4,'Talnagögn | Numerical Data'!$59:$59))</f>
        <v>-17.238067864133882</v>
      </c>
      <c r="L334" s="711"/>
      <c r="M334" s="53" cm="1">
        <f t="array" ref="M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Data'!$A:$A),_xlfn.XMATCH($B$4,'Talnagögn | Numerical Data'!$59:$59))-1</f>
        <v>-2.4240287234416735E-2</v>
      </c>
      <c r="N334" s="710" cm="1">
        <f t="array" ref="N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Data'!$A:$A),_xlfn.XMATCH($B$5,'Talnagögn | Numerical Data'!$59:$59))</f>
        <v>-63.370917106567958</v>
      </c>
      <c r="O334" s="711"/>
      <c r="P334" s="54" cm="1">
        <f t="array" ref="P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Data'!$A:$A),_xlfn.XMATCH($B$5,'Talnagögn | Numerical Data'!$59:$59))-1</f>
        <v>-8.368384533236406E-2</v>
      </c>
      <c r="Q334" s="818"/>
      <c r="R334" s="818"/>
      <c r="S334" s="12"/>
      <c r="T334" s="712"/>
      <c r="U334" s="712"/>
      <c r="V334" s="12"/>
      <c r="W334" s="712"/>
      <c r="X334" s="712"/>
      <c r="Y334" s="12"/>
      <c r="Z334" s="712"/>
      <c r="AA334" s="712"/>
      <c r="AC334" s="383"/>
      <c r="AF334" s="46" t="s">
        <v>211</v>
      </c>
      <c r="AG334" s="710" cm="1">
        <f t="array" ref="AG334">INDEX('Talnagögn | Numerical Data'!$1:$1048576,_xlfn.XMATCH($A334,'Talnagögn | Numerical Data'!$A:$A),_xlfn.XMATCH($B$2,'Talnagögn | Numerical Data'!$59:$59))</f>
        <v>693.89491902799296</v>
      </c>
      <c r="AH334" s="711"/>
      <c r="AI334" s="47">
        <f>SUM($G$330:$G$333)</f>
        <v>0.99999999999999989</v>
      </c>
      <c r="AJ334" s="710" cm="1">
        <f t="array" ref="AJ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Data'!$A:$A),_xlfn.XMATCH($B$3,'Talnagögn | Numerical Data'!$59:$59))</f>
        <v>-19.387103879102824</v>
      </c>
      <c r="AK334" s="711"/>
      <c r="AL334" s="53" cm="1">
        <f t="array" ref="AL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Data'!$A:$A),_xlfn.XMATCH($B$3,'Talnagögn | Numerical Data'!$59:$59))-1</f>
        <v>-2.7180138089121564E-2</v>
      </c>
      <c r="AM334" s="710" cm="1">
        <f t="array" ref="AM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Data'!$A:$A),_xlfn.XMATCH($B$4,'Talnagögn | Numerical Data'!$59:$59))</f>
        <v>-17.238067864133882</v>
      </c>
      <c r="AN334" s="711"/>
      <c r="AO334" s="53" cm="1">
        <f t="array" ref="AO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Data'!$A:$A),_xlfn.XMATCH($B$4,'Talnagögn | Numerical Data'!$59:$59))-1</f>
        <v>-2.4240287234416735E-2</v>
      </c>
      <c r="AP334" s="710" cm="1">
        <f t="array" ref="AP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Data'!$A:$A),_xlfn.XMATCH($B$5,'Talnagögn | Numerical Data'!$59:$59))</f>
        <v>-63.370917106567958</v>
      </c>
      <c r="AQ334" s="711"/>
      <c r="AR334" s="54" cm="1">
        <f t="array" ref="AR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Data'!$A:$A),_xlfn.XMATCH($B$5,'Talnagögn | Numerical Data'!$59:$59))-1</f>
        <v>-8.368384533236406E-2</v>
      </c>
    </row>
    <row r="335" spans="1:54" s="1" customFormat="1" x14ac:dyDescent="0.25">
      <c r="A335" s="262"/>
      <c r="B335" s="5"/>
      <c r="C335" s="617" t="s">
        <v>56</v>
      </c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3"/>
      <c r="AA335" s="14"/>
      <c r="AB335" s="14"/>
      <c r="AC335" s="380"/>
      <c r="AD335" s="14"/>
      <c r="AE335" s="14"/>
      <c r="AF335" s="14"/>
      <c r="AG335" s="14"/>
      <c r="AH335" s="14"/>
      <c r="AI335" s="14"/>
      <c r="AJ335" s="15"/>
    </row>
    <row r="336" spans="1:54" s="1" customFormat="1" ht="13.35" customHeight="1" x14ac:dyDescent="0.25">
      <c r="A336" s="262"/>
      <c r="B336" s="5"/>
      <c r="C336" s="617" t="s">
        <v>56</v>
      </c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3"/>
      <c r="AA336" s="14"/>
      <c r="AB336" s="14"/>
      <c r="AC336" s="380"/>
      <c r="AD336" s="14"/>
      <c r="AE336" s="14"/>
      <c r="AF336" s="14"/>
      <c r="AG336" s="14"/>
      <c r="AH336" s="14"/>
      <c r="AI336" s="14"/>
      <c r="AJ336" s="15"/>
    </row>
    <row r="337" spans="1:36" s="1" customFormat="1" ht="13.5" customHeight="1" x14ac:dyDescent="0.25">
      <c r="A337" s="262"/>
      <c r="B337" s="5"/>
      <c r="C337" s="617" t="s">
        <v>56</v>
      </c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3"/>
      <c r="AA337" s="14"/>
      <c r="AB337" s="14"/>
      <c r="AC337" s="380"/>
      <c r="AD337" s="14"/>
      <c r="AE337" s="14"/>
      <c r="AF337" s="14"/>
      <c r="AG337" s="14"/>
      <c r="AH337" s="14"/>
      <c r="AI337" s="14"/>
      <c r="AJ337" s="15"/>
    </row>
    <row r="338" spans="1:36" s="1" customFormat="1" ht="13.5" customHeight="1" x14ac:dyDescent="0.25">
      <c r="A338" s="262"/>
      <c r="B338" s="5"/>
      <c r="C338" s="617" t="s">
        <v>56</v>
      </c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3"/>
      <c r="AA338" s="14"/>
      <c r="AB338" s="14"/>
      <c r="AC338" s="380"/>
      <c r="AD338" s="14"/>
      <c r="AE338" s="14"/>
      <c r="AF338" s="14"/>
      <c r="AG338" s="14"/>
      <c r="AH338" s="14"/>
      <c r="AI338" s="14"/>
      <c r="AJ338" s="15"/>
    </row>
    <row r="339" spans="1:36" s="1" customFormat="1" ht="13.5" customHeight="1" x14ac:dyDescent="0.25">
      <c r="A339" s="262"/>
      <c r="B339" s="5"/>
      <c r="C339" s="617" t="s">
        <v>56</v>
      </c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3"/>
      <c r="AA339" s="14"/>
      <c r="AB339" s="14"/>
      <c r="AC339" s="380"/>
      <c r="AD339" s="14"/>
      <c r="AE339" s="14"/>
      <c r="AF339" s="14"/>
      <c r="AG339" s="14"/>
      <c r="AH339" s="14"/>
      <c r="AI339" s="14"/>
      <c r="AJ339" s="15"/>
    </row>
    <row r="340" spans="1:36" s="1" customFormat="1" ht="13.5" customHeight="1" x14ac:dyDescent="0.25">
      <c r="A340" s="262"/>
      <c r="B340" s="5"/>
      <c r="C340" s="617" t="s">
        <v>56</v>
      </c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3"/>
      <c r="AA340" s="14"/>
      <c r="AB340" s="14"/>
      <c r="AC340" s="380"/>
      <c r="AD340" s="14"/>
      <c r="AE340" s="14"/>
      <c r="AF340" s="14"/>
      <c r="AG340" s="14"/>
      <c r="AH340" s="14"/>
      <c r="AI340" s="14"/>
      <c r="AJ340" s="15"/>
    </row>
    <row r="341" spans="1:36" s="1" customFormat="1" ht="13.5" customHeight="1" x14ac:dyDescent="0.25">
      <c r="A341" s="262"/>
      <c r="B341" s="5"/>
      <c r="C341" s="617" t="s">
        <v>56</v>
      </c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3"/>
      <c r="AA341" s="14"/>
      <c r="AB341" s="14"/>
      <c r="AC341" s="380"/>
      <c r="AD341" s="14"/>
      <c r="AE341" s="14"/>
      <c r="AF341" s="14"/>
      <c r="AG341" s="14"/>
      <c r="AH341" s="14"/>
      <c r="AI341" s="14"/>
      <c r="AJ341" s="15"/>
    </row>
    <row r="342" spans="1:36" s="1" customFormat="1" ht="13.5" customHeight="1" x14ac:dyDescent="0.25">
      <c r="A342" s="262"/>
      <c r="B342" s="5"/>
      <c r="C342" s="617" t="s">
        <v>56</v>
      </c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3"/>
      <c r="AA342" s="14"/>
      <c r="AB342" s="14"/>
      <c r="AC342" s="380"/>
      <c r="AD342" s="14"/>
      <c r="AE342" s="14"/>
      <c r="AF342" s="14"/>
      <c r="AG342" s="14"/>
      <c r="AH342" s="14"/>
      <c r="AI342" s="14"/>
      <c r="AJ342" s="15"/>
    </row>
    <row r="343" spans="1:36" s="1" customFormat="1" ht="13.5" customHeight="1" x14ac:dyDescent="0.25">
      <c r="A343" s="262"/>
      <c r="B343" s="5"/>
      <c r="C343" s="617" t="s">
        <v>56</v>
      </c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3"/>
      <c r="AA343" s="14"/>
      <c r="AB343" s="14"/>
      <c r="AC343" s="380"/>
      <c r="AD343" s="14"/>
      <c r="AE343" s="14"/>
      <c r="AF343" s="14"/>
      <c r="AG343" s="14"/>
      <c r="AH343" s="14"/>
      <c r="AI343" s="14"/>
      <c r="AJ343" s="15"/>
    </row>
    <row r="344" spans="1:36" s="1" customFormat="1" ht="13.5" customHeight="1" x14ac:dyDescent="0.25">
      <c r="A344" s="262"/>
      <c r="B344" s="5"/>
      <c r="C344" s="617" t="s">
        <v>56</v>
      </c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3"/>
      <c r="AA344" s="14"/>
      <c r="AB344" s="14"/>
      <c r="AC344" s="380"/>
      <c r="AD344" s="14"/>
      <c r="AE344" s="14"/>
      <c r="AF344" s="14"/>
      <c r="AG344" s="14"/>
      <c r="AH344" s="14"/>
      <c r="AI344" s="14"/>
      <c r="AJ344" s="15"/>
    </row>
    <row r="345" spans="1:36" s="1" customFormat="1" ht="13.5" customHeight="1" x14ac:dyDescent="0.25">
      <c r="A345" s="262"/>
      <c r="C345" s="617" t="s">
        <v>56</v>
      </c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3"/>
      <c r="AA345" s="14"/>
      <c r="AB345" s="14"/>
      <c r="AC345" s="380"/>
      <c r="AD345" s="14"/>
      <c r="AE345" s="14"/>
      <c r="AF345" s="14"/>
      <c r="AG345" s="14"/>
      <c r="AH345" s="14"/>
      <c r="AI345" s="14"/>
      <c r="AJ345" s="15"/>
    </row>
    <row r="346" spans="1:36" s="1" customFormat="1" ht="13.5" customHeight="1" x14ac:dyDescent="0.25">
      <c r="A346" s="262"/>
      <c r="C346" s="617" t="s">
        <v>56</v>
      </c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3"/>
      <c r="AA346" s="14"/>
      <c r="AB346" s="14"/>
      <c r="AC346" s="380"/>
      <c r="AD346" s="14"/>
      <c r="AE346" s="14"/>
      <c r="AF346" s="14"/>
      <c r="AG346" s="14"/>
      <c r="AH346" s="14"/>
      <c r="AI346" s="14"/>
      <c r="AJ346" s="15"/>
    </row>
    <row r="347" spans="1:36" s="1" customFormat="1" ht="13.5" customHeight="1" x14ac:dyDescent="0.25">
      <c r="A347" s="262"/>
      <c r="C347" s="617" t="s">
        <v>56</v>
      </c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3"/>
      <c r="AA347" s="14"/>
      <c r="AB347" s="14"/>
      <c r="AC347" s="380"/>
      <c r="AD347" s="14"/>
      <c r="AE347" s="14"/>
      <c r="AF347" s="14"/>
      <c r="AG347" s="14"/>
      <c r="AH347" s="14"/>
      <c r="AI347" s="14"/>
      <c r="AJ347" s="15"/>
    </row>
    <row r="348" spans="1:36" s="1" customFormat="1" ht="13.5" customHeight="1" x14ac:dyDescent="0.25">
      <c r="A348" s="262"/>
      <c r="C348" s="617" t="s">
        <v>56</v>
      </c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3"/>
      <c r="AA348" s="14"/>
      <c r="AB348" s="14"/>
      <c r="AC348" s="380"/>
      <c r="AD348" s="14"/>
      <c r="AE348" s="14"/>
      <c r="AF348" s="14"/>
      <c r="AG348" s="14"/>
      <c r="AH348" s="14"/>
      <c r="AI348" s="14"/>
      <c r="AJ348" s="15"/>
    </row>
    <row r="349" spans="1:36" s="1" customFormat="1" ht="13.5" customHeight="1" x14ac:dyDescent="0.25">
      <c r="A349" s="262"/>
      <c r="C349" s="617" t="s">
        <v>56</v>
      </c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3"/>
      <c r="AA349" s="14"/>
      <c r="AB349" s="14"/>
      <c r="AC349" s="380"/>
      <c r="AD349" s="14"/>
      <c r="AE349" s="14"/>
      <c r="AF349" s="14"/>
      <c r="AG349" s="14"/>
      <c r="AH349" s="14"/>
      <c r="AI349" s="14"/>
      <c r="AJ349" s="15"/>
    </row>
    <row r="350" spans="1:36" s="1" customFormat="1" ht="13.5" customHeight="1" x14ac:dyDescent="0.25">
      <c r="A350" s="262"/>
      <c r="B350" s="5"/>
      <c r="C350" s="617" t="s">
        <v>56</v>
      </c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3"/>
      <c r="AA350" s="14"/>
      <c r="AB350" s="14"/>
      <c r="AC350" s="380"/>
      <c r="AD350" s="14"/>
      <c r="AE350" s="14"/>
      <c r="AF350" s="14"/>
      <c r="AG350" s="14"/>
      <c r="AH350" s="14"/>
      <c r="AI350" s="14"/>
      <c r="AJ350" s="15"/>
    </row>
    <row r="351" spans="1:36" s="1" customFormat="1" ht="13.5" customHeight="1" x14ac:dyDescent="0.25">
      <c r="A351" s="262"/>
      <c r="B351" s="5"/>
      <c r="C351" s="617" t="s">
        <v>56</v>
      </c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3"/>
      <c r="AA351" s="14"/>
      <c r="AB351" s="14"/>
      <c r="AC351" s="380"/>
      <c r="AD351" s="14"/>
      <c r="AE351" s="14"/>
      <c r="AF351" s="14"/>
      <c r="AG351" s="14"/>
      <c r="AH351" s="14"/>
      <c r="AI351" s="14"/>
      <c r="AJ351" s="15"/>
    </row>
    <row r="352" spans="1:36" s="1" customFormat="1" ht="13.5" customHeight="1" x14ac:dyDescent="0.25">
      <c r="A352" s="262"/>
      <c r="B352" s="5"/>
      <c r="C352" s="617" t="s">
        <v>56</v>
      </c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3"/>
      <c r="AA352" s="14"/>
      <c r="AB352" s="14"/>
      <c r="AC352" s="380"/>
      <c r="AD352" s="14"/>
      <c r="AE352" s="14"/>
      <c r="AF352" s="14"/>
      <c r="AG352" s="14"/>
      <c r="AH352" s="14"/>
      <c r="AI352" s="14"/>
      <c r="AJ352" s="15"/>
    </row>
    <row r="353" spans="1:36" s="1" customFormat="1" ht="13.5" customHeight="1" x14ac:dyDescent="0.25">
      <c r="A353" s="262"/>
      <c r="B353" s="5"/>
      <c r="C353" s="617" t="s">
        <v>56</v>
      </c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3"/>
      <c r="AA353" s="14"/>
      <c r="AB353" s="14"/>
      <c r="AC353" s="380"/>
      <c r="AD353" s="14"/>
      <c r="AE353" s="14"/>
      <c r="AF353" s="14"/>
      <c r="AG353" s="14"/>
      <c r="AH353" s="14"/>
      <c r="AI353" s="14"/>
      <c r="AJ353" s="15"/>
    </row>
    <row r="354" spans="1:36" s="1" customFormat="1" ht="13.5" customHeight="1" x14ac:dyDescent="0.25">
      <c r="A354" s="262"/>
      <c r="B354" s="5"/>
      <c r="C354" s="617" t="s">
        <v>56</v>
      </c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3"/>
      <c r="AA354" s="14"/>
      <c r="AB354" s="14"/>
      <c r="AC354" s="380"/>
      <c r="AD354" s="14"/>
      <c r="AE354" s="14"/>
      <c r="AF354" s="14"/>
      <c r="AG354" s="14"/>
      <c r="AH354" s="14"/>
      <c r="AI354" s="14"/>
      <c r="AJ354" s="15"/>
    </row>
    <row r="355" spans="1:36" s="1" customFormat="1" ht="13.5" customHeight="1" x14ac:dyDescent="0.25">
      <c r="A355" s="262"/>
      <c r="B355" s="5"/>
      <c r="C355" s="617" t="s">
        <v>56</v>
      </c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3"/>
      <c r="AA355" s="14"/>
      <c r="AB355" s="14"/>
      <c r="AC355" s="380"/>
      <c r="AD355" s="14"/>
      <c r="AE355" s="14"/>
      <c r="AF355" s="14"/>
      <c r="AG355" s="14"/>
      <c r="AH355" s="14"/>
      <c r="AI355" s="14"/>
      <c r="AJ355" s="15"/>
    </row>
    <row r="356" spans="1:36" s="1" customFormat="1" ht="13.5" customHeight="1" x14ac:dyDescent="0.25">
      <c r="A356" s="262"/>
      <c r="B356" s="5"/>
      <c r="C356" s="617" t="s">
        <v>56</v>
      </c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3"/>
      <c r="AA356" s="14"/>
      <c r="AB356" s="14"/>
      <c r="AC356" s="380"/>
      <c r="AD356" s="14"/>
      <c r="AE356" s="14"/>
      <c r="AF356" s="14"/>
      <c r="AG356" s="14"/>
      <c r="AH356" s="14"/>
      <c r="AI356" s="14"/>
      <c r="AJ356" s="15"/>
    </row>
    <row r="357" spans="1:36" s="1" customFormat="1" ht="13.5" customHeight="1" x14ac:dyDescent="0.25">
      <c r="A357" s="262"/>
      <c r="B357" s="5"/>
      <c r="C357" s="617" t="s">
        <v>56</v>
      </c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3"/>
      <c r="AA357" s="14"/>
      <c r="AB357" s="14"/>
      <c r="AC357" s="380"/>
      <c r="AD357" s="14"/>
      <c r="AE357" s="14"/>
      <c r="AF357" s="14"/>
      <c r="AG357" s="14"/>
      <c r="AH357" s="14"/>
      <c r="AI357" s="14"/>
      <c r="AJ357" s="15"/>
    </row>
    <row r="358" spans="1:36" s="1" customFormat="1" ht="13.5" customHeight="1" x14ac:dyDescent="0.25">
      <c r="A358" s="262"/>
      <c r="B358" s="5"/>
      <c r="C358" s="617" t="s">
        <v>56</v>
      </c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3"/>
      <c r="AA358" s="14"/>
      <c r="AB358" s="14"/>
      <c r="AC358" s="380"/>
      <c r="AD358" s="14"/>
      <c r="AE358" s="14"/>
      <c r="AF358" s="14"/>
      <c r="AG358" s="14"/>
      <c r="AH358" s="14"/>
      <c r="AI358" s="14"/>
      <c r="AJ358" s="15"/>
    </row>
    <row r="359" spans="1:36" s="1" customFormat="1" ht="13.5" customHeight="1" x14ac:dyDescent="0.25">
      <c r="A359" s="262"/>
      <c r="B359" s="5"/>
      <c r="C359" s="617" t="s">
        <v>56</v>
      </c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3"/>
      <c r="AA359" s="14"/>
      <c r="AB359" s="14"/>
      <c r="AC359" s="380"/>
      <c r="AD359" s="14"/>
      <c r="AE359" s="14"/>
      <c r="AF359" s="14"/>
      <c r="AG359" s="14"/>
      <c r="AH359" s="14"/>
      <c r="AI359" s="14"/>
      <c r="AJ359" s="15"/>
    </row>
    <row r="360" spans="1:36" s="1" customFormat="1" ht="13.5" customHeight="1" x14ac:dyDescent="0.25">
      <c r="A360" s="262"/>
      <c r="B360" s="5"/>
      <c r="C360" s="617" t="s">
        <v>56</v>
      </c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3"/>
      <c r="AA360" s="14"/>
      <c r="AB360" s="14"/>
      <c r="AC360" s="380"/>
      <c r="AD360" s="14"/>
      <c r="AE360" s="14"/>
      <c r="AF360" s="14"/>
      <c r="AG360" s="14"/>
      <c r="AH360" s="14"/>
      <c r="AI360" s="14"/>
      <c r="AJ360" s="15"/>
    </row>
    <row r="361" spans="1:36" s="1" customFormat="1" ht="13.5" customHeight="1" x14ac:dyDescent="0.25">
      <c r="A361" s="262"/>
      <c r="B361" s="5"/>
      <c r="C361" s="617" t="s">
        <v>56</v>
      </c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3"/>
      <c r="AA361" s="14"/>
      <c r="AB361" s="14"/>
      <c r="AC361" s="380"/>
      <c r="AD361" s="14"/>
      <c r="AE361" s="14"/>
      <c r="AF361" s="14"/>
      <c r="AG361" s="14"/>
      <c r="AH361" s="14"/>
      <c r="AI361" s="14"/>
      <c r="AJ361" s="15"/>
    </row>
    <row r="362" spans="1:36" s="1" customFormat="1" ht="13.5" customHeight="1" x14ac:dyDescent="0.25">
      <c r="A362" s="262"/>
      <c r="B362" s="5"/>
      <c r="C362" s="617" t="s">
        <v>56</v>
      </c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3"/>
      <c r="AA362" s="14"/>
      <c r="AB362" s="14"/>
      <c r="AC362" s="380"/>
      <c r="AD362" s="14"/>
      <c r="AE362" s="14"/>
      <c r="AF362" s="14"/>
      <c r="AG362" s="14"/>
      <c r="AH362" s="14"/>
      <c r="AI362" s="14"/>
      <c r="AJ362" s="15"/>
    </row>
    <row r="363" spans="1:36" s="327" customFormat="1" ht="27" customHeight="1" x14ac:dyDescent="0.25">
      <c r="D363" s="595" t="s">
        <v>35</v>
      </c>
      <c r="AC363" s="430"/>
      <c r="AF363" s="595" t="s">
        <v>215</v>
      </c>
    </row>
    <row r="364" spans="1:36" s="1" customFormat="1" x14ac:dyDescent="0.25">
      <c r="A364" s="262"/>
      <c r="C364" s="617" t="s">
        <v>56</v>
      </c>
      <c r="AC364" s="377"/>
    </row>
    <row r="365" spans="1:36" s="1" customFormat="1" x14ac:dyDescent="0.25">
      <c r="A365" s="262"/>
      <c r="C365" s="617" t="s">
        <v>56</v>
      </c>
      <c r="M365" s="608"/>
      <c r="AC365" s="377"/>
    </row>
    <row r="366" spans="1:36" s="1" customFormat="1" x14ac:dyDescent="0.25">
      <c r="A366" s="262"/>
      <c r="C366" s="617" t="s">
        <v>56</v>
      </c>
      <c r="AC366" s="377"/>
    </row>
    <row r="367" spans="1:36" s="1" customFormat="1" x14ac:dyDescent="0.25">
      <c r="A367" s="262"/>
      <c r="C367" s="617" t="s">
        <v>56</v>
      </c>
      <c r="AC367" s="377"/>
    </row>
    <row r="368" spans="1:36" s="1" customFormat="1" x14ac:dyDescent="0.25">
      <c r="A368" s="262"/>
      <c r="C368" s="617" t="s">
        <v>56</v>
      </c>
      <c r="AC368" s="377"/>
    </row>
    <row r="369" spans="1:29" s="1" customFormat="1" x14ac:dyDescent="0.25">
      <c r="A369" s="262"/>
      <c r="C369" s="617" t="s">
        <v>56</v>
      </c>
      <c r="AC369" s="377"/>
    </row>
    <row r="370" spans="1:29" s="1" customFormat="1" x14ac:dyDescent="0.25">
      <c r="A370" s="262"/>
      <c r="C370" s="617" t="s">
        <v>56</v>
      </c>
      <c r="AC370" s="377"/>
    </row>
    <row r="371" spans="1:29" s="1" customFormat="1" x14ac:dyDescent="0.25">
      <c r="A371" s="262"/>
      <c r="C371" s="617" t="s">
        <v>56</v>
      </c>
      <c r="AC371" s="377"/>
    </row>
    <row r="372" spans="1:29" s="1" customFormat="1" x14ac:dyDescent="0.25">
      <c r="A372" s="262"/>
      <c r="C372" s="617" t="s">
        <v>56</v>
      </c>
      <c r="AC372" s="377"/>
    </row>
    <row r="373" spans="1:29" s="1" customFormat="1" x14ac:dyDescent="0.25">
      <c r="A373" s="262"/>
      <c r="C373" s="617" t="s">
        <v>56</v>
      </c>
      <c r="AC373" s="377"/>
    </row>
    <row r="374" spans="1:29" s="1" customFormat="1" x14ac:dyDescent="0.25">
      <c r="A374" s="262"/>
      <c r="C374" s="617" t="s">
        <v>56</v>
      </c>
      <c r="AC374" s="377"/>
    </row>
    <row r="375" spans="1:29" s="1" customFormat="1" x14ac:dyDescent="0.25">
      <c r="A375" s="262"/>
      <c r="C375" s="617" t="s">
        <v>56</v>
      </c>
      <c r="AC375" s="377"/>
    </row>
    <row r="376" spans="1:29" s="1" customFormat="1" ht="15" customHeight="1" x14ac:dyDescent="0.25">
      <c r="A376" s="262"/>
      <c r="C376" s="617" t="s">
        <v>56</v>
      </c>
      <c r="AC376" s="377"/>
    </row>
    <row r="377" spans="1:29" s="1" customFormat="1" ht="15" customHeight="1" x14ac:dyDescent="0.25">
      <c r="A377" s="262"/>
      <c r="C377" s="617" t="s">
        <v>56</v>
      </c>
      <c r="AC377" s="377"/>
    </row>
    <row r="378" spans="1:29" s="1" customFormat="1" ht="15" customHeight="1" x14ac:dyDescent="0.25">
      <c r="A378" s="262"/>
      <c r="C378" s="617" t="s">
        <v>56</v>
      </c>
      <c r="AC378" s="377"/>
    </row>
    <row r="379" spans="1:29" s="1" customFormat="1" x14ac:dyDescent="0.25">
      <c r="A379" s="262"/>
      <c r="C379" s="617" t="s">
        <v>56</v>
      </c>
      <c r="AC379" s="377"/>
    </row>
    <row r="380" spans="1:29" s="1" customFormat="1" x14ac:dyDescent="0.25">
      <c r="A380" s="262"/>
      <c r="C380" s="617" t="s">
        <v>56</v>
      </c>
      <c r="AC380" s="377"/>
    </row>
    <row r="381" spans="1:29" s="1" customFormat="1" x14ac:dyDescent="0.25">
      <c r="A381" s="262"/>
      <c r="C381" s="617" t="s">
        <v>56</v>
      </c>
      <c r="AC381" s="377"/>
    </row>
    <row r="382" spans="1:29" s="1" customFormat="1" x14ac:dyDescent="0.25">
      <c r="A382" s="262"/>
      <c r="C382" s="617" t="s">
        <v>56</v>
      </c>
      <c r="AC382" s="377"/>
    </row>
    <row r="383" spans="1:29" s="1" customFormat="1" x14ac:dyDescent="0.25">
      <c r="A383" s="262"/>
      <c r="C383" s="617" t="s">
        <v>56</v>
      </c>
      <c r="AC383" s="377"/>
    </row>
    <row r="384" spans="1:29" s="1" customFormat="1" x14ac:dyDescent="0.25">
      <c r="A384" s="262"/>
      <c r="C384" s="617" t="s">
        <v>56</v>
      </c>
      <c r="AC384" s="377"/>
    </row>
    <row r="385" spans="1:54" s="1" customFormat="1" x14ac:dyDescent="0.25">
      <c r="A385" s="262"/>
      <c r="C385" s="617" t="s">
        <v>56</v>
      </c>
      <c r="AC385" s="377"/>
    </row>
    <row r="386" spans="1:54" s="1" customFormat="1" x14ac:dyDescent="0.25">
      <c r="A386" s="262"/>
      <c r="C386" s="617" t="s">
        <v>56</v>
      </c>
      <c r="AC386" s="377"/>
    </row>
    <row r="387" spans="1:54" s="1" customFormat="1" x14ac:dyDescent="0.25">
      <c r="A387" s="262"/>
      <c r="C387" s="617" t="s">
        <v>56</v>
      </c>
      <c r="AC387" s="377"/>
    </row>
    <row r="388" spans="1:54" s="1" customFormat="1" x14ac:dyDescent="0.25">
      <c r="A388" s="262"/>
      <c r="C388" s="617" t="s">
        <v>56</v>
      </c>
      <c r="AC388" s="377"/>
    </row>
    <row r="389" spans="1:54" s="1" customFormat="1" x14ac:dyDescent="0.25">
      <c r="A389" s="262"/>
      <c r="C389" s="617" t="s">
        <v>56</v>
      </c>
      <c r="AC389" s="377"/>
    </row>
    <row r="390" spans="1:54" s="1" customFormat="1" x14ac:dyDescent="0.25">
      <c r="A390" s="262"/>
      <c r="C390" s="617" t="s">
        <v>56</v>
      </c>
      <c r="AC390" s="377"/>
    </row>
    <row r="391" spans="1:54" s="1" customFormat="1" x14ac:dyDescent="0.25">
      <c r="A391" s="262"/>
      <c r="C391" s="617" t="s">
        <v>56</v>
      </c>
      <c r="AC391" s="377"/>
    </row>
    <row r="392" spans="1:54" s="1" customFormat="1" x14ac:dyDescent="0.25">
      <c r="A392" s="262"/>
      <c r="C392" s="617" t="s">
        <v>56</v>
      </c>
      <c r="AC392" s="377"/>
    </row>
    <row r="393" spans="1:54" s="358" customFormat="1" ht="45" customHeight="1" x14ac:dyDescent="0.45">
      <c r="D393" s="358" t="s">
        <v>49</v>
      </c>
      <c r="AC393" s="431"/>
      <c r="AF393" s="358" t="s">
        <v>239</v>
      </c>
      <c r="AY393" s="359"/>
      <c r="AZ393" s="359"/>
      <c r="BA393" s="359"/>
      <c r="BB393" s="359"/>
    </row>
    <row r="394" spans="1:54" s="321" customFormat="1" ht="37.5" customHeight="1" x14ac:dyDescent="0.25">
      <c r="A394" s="322"/>
      <c r="B394" s="322"/>
      <c r="C394" s="322"/>
      <c r="D394" s="332" t="s">
        <v>134</v>
      </c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AC394" s="429"/>
      <c r="AF394" s="332" t="s">
        <v>243</v>
      </c>
      <c r="AY394" s="323"/>
      <c r="AZ394" s="323"/>
      <c r="BA394" s="323"/>
      <c r="BB394" s="323"/>
    </row>
    <row r="395" spans="1:54" s="1" customFormat="1" x14ac:dyDescent="0.25">
      <c r="A395" s="262"/>
      <c r="C395" s="617" t="s">
        <v>56</v>
      </c>
      <c r="AC395" s="377"/>
    </row>
    <row r="396" spans="1:54" s="1" customFormat="1" ht="33" customHeight="1" x14ac:dyDescent="0.25">
      <c r="A396" s="262"/>
      <c r="C396" s="617" t="s">
        <v>56</v>
      </c>
      <c r="D396" s="730" t="str">
        <f>$D$182</f>
        <v>Losun árið 2023 í samanburði við losun fyrri ára</v>
      </c>
      <c r="E396" s="730"/>
      <c r="F396" s="730"/>
      <c r="G396" s="730"/>
      <c r="H396" s="730"/>
      <c r="I396" s="730"/>
      <c r="J396" s="730"/>
      <c r="K396" s="730"/>
      <c r="L396" s="730"/>
      <c r="M396" s="730"/>
      <c r="N396" s="730"/>
      <c r="O396" s="730"/>
      <c r="P396" s="730"/>
      <c r="AC396" s="377"/>
      <c r="AF396" s="730" t="str">
        <f>$AF$4</f>
        <v>Emissions in 2023 compared to emissions in previous years</v>
      </c>
      <c r="AG396" s="730"/>
      <c r="AH396" s="730"/>
      <c r="AI396" s="730"/>
      <c r="AJ396" s="730"/>
      <c r="AK396" s="730"/>
      <c r="AL396" s="730"/>
      <c r="AM396" s="730"/>
      <c r="AN396" s="730"/>
      <c r="AO396" s="730"/>
      <c r="AP396" s="730"/>
      <c r="AQ396" s="730"/>
      <c r="AR396" s="730"/>
    </row>
    <row r="397" spans="1:54" s="1" customFormat="1" ht="29.1" customHeight="1" x14ac:dyDescent="0.25">
      <c r="A397" s="262"/>
      <c r="C397" s="617" t="s">
        <v>56</v>
      </c>
      <c r="D397" s="324"/>
      <c r="E397" s="826" t="str">
        <f>"Losun "&amp;$B$2</f>
        <v>Losun 2023</v>
      </c>
      <c r="F397" s="827"/>
      <c r="G397" s="828"/>
      <c r="H397" s="826" t="str">
        <f>"Breyting frá "&amp;$B$3</f>
        <v>Breyting frá 2022</v>
      </c>
      <c r="I397" s="827"/>
      <c r="J397" s="828"/>
      <c r="K397" s="826" t="str">
        <f>"Breyting frá "&amp;$B$4</f>
        <v>Breyting frá 2005</v>
      </c>
      <c r="L397" s="827"/>
      <c r="M397" s="828"/>
      <c r="N397" s="826" t="str">
        <f>"Breyting frá "&amp;$B$5</f>
        <v>Breyting frá 1990</v>
      </c>
      <c r="O397" s="827"/>
      <c r="P397" s="827"/>
      <c r="AC397" s="377"/>
      <c r="AF397" s="324"/>
      <c r="AG397" s="734" t="str">
        <f>"Emissions in "&amp;$B$2</f>
        <v>Emissions in 2023</v>
      </c>
      <c r="AH397" s="735"/>
      <c r="AI397" s="736"/>
      <c r="AJ397" s="734" t="str">
        <f>"Change from "&amp;$B$3</f>
        <v>Change from 2022</v>
      </c>
      <c r="AK397" s="735"/>
      <c r="AL397" s="736"/>
      <c r="AM397" s="734" t="str">
        <f>"Change from "&amp;$B$4</f>
        <v>Change from 2005</v>
      </c>
      <c r="AN397" s="735"/>
      <c r="AO397" s="736"/>
      <c r="AP397" s="734" t="str">
        <f>"Change from "&amp;$B$5</f>
        <v>Change from 1990</v>
      </c>
      <c r="AQ397" s="735"/>
      <c r="AR397" s="735"/>
    </row>
    <row r="398" spans="1:54" s="1" customFormat="1" x14ac:dyDescent="0.25">
      <c r="A398" s="262"/>
      <c r="C398" s="617" t="s">
        <v>56</v>
      </c>
      <c r="D398" s="324"/>
      <c r="E398" s="732" t="s">
        <v>5</v>
      </c>
      <c r="F398" s="732"/>
      <c r="G398" s="326" t="s">
        <v>4</v>
      </c>
      <c r="H398" s="732" t="s">
        <v>5</v>
      </c>
      <c r="I398" s="732"/>
      <c r="J398" s="326" t="s">
        <v>4</v>
      </c>
      <c r="K398" s="732" t="s">
        <v>5</v>
      </c>
      <c r="L398" s="732"/>
      <c r="M398" s="326" t="s">
        <v>4</v>
      </c>
      <c r="N398" s="732" t="s">
        <v>5</v>
      </c>
      <c r="O398" s="732"/>
      <c r="P398" s="325" t="s">
        <v>4</v>
      </c>
      <c r="AC398" s="377"/>
      <c r="AF398" s="324"/>
      <c r="AG398" s="731" t="s">
        <v>204</v>
      </c>
      <c r="AH398" s="732"/>
      <c r="AI398" s="326" t="s">
        <v>4</v>
      </c>
      <c r="AJ398" s="731" t="s">
        <v>204</v>
      </c>
      <c r="AK398" s="732"/>
      <c r="AL398" s="326" t="s">
        <v>4</v>
      </c>
      <c r="AM398" s="731" t="s">
        <v>204</v>
      </c>
      <c r="AN398" s="732"/>
      <c r="AO398" s="326" t="s">
        <v>4</v>
      </c>
      <c r="AP398" s="731" t="s">
        <v>204</v>
      </c>
      <c r="AQ398" s="732"/>
      <c r="AR398" s="325" t="s">
        <v>4</v>
      </c>
    </row>
    <row r="399" spans="1:54" s="1" customFormat="1" ht="21" customHeight="1" x14ac:dyDescent="0.25">
      <c r="A399" s="258" t="s">
        <v>124</v>
      </c>
      <c r="C399" s="617" t="s">
        <v>56</v>
      </c>
      <c r="D399" s="50" t="str">
        <f>'Talnagögn | Numerical Data'!$D$73</f>
        <v>Áburðarnotkun í landbúnaði</v>
      </c>
      <c r="E399" s="728" cm="1">
        <f t="array" ref="E399">INDEX('Talnagögn | Numerical Data'!$1:$1048576,_xlfn.XMATCH($A399,'Talnagögn | Numerical Data'!$B:$B),_xlfn.XMATCH($B$2,'Talnagögn | Numerical Data'!$71:$71))</f>
        <v>126.50383382562947</v>
      </c>
      <c r="F399" s="728"/>
      <c r="G399" s="44">
        <f>$E$399/$E$405</f>
        <v>0.18230978546843357</v>
      </c>
      <c r="H399" s="721" cm="1">
        <f t="array" ref="H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Data'!$B:$B),_xlfn.XMATCH($B$3,'Talnagögn | Numerical Data'!$71:$71))</f>
        <v>-11.310172911938679</v>
      </c>
      <c r="I399" s="721"/>
      <c r="J399" s="52" cm="1">
        <f t="array" ref="J399">INDEX('Talnagögn | Numerical Data'!$1:$1048576, _xlfn.XMATCH($A399,'Talnagögn | Numerical Data'!$B:$B), _xlfn.XMATCH($B$2,'Talnagögn | Numerical Data'!$71:$71))/INDEX('Talnagögn | Numerical Data'!$1:$1048576, _xlfn.XMATCH($A399,'Talnagögn | Numerical Data'!$B:$B), _xlfn.XMATCH($B$3,'Talnagögn | Numerical Data'!$71:$71))-1</f>
        <v>-8.2068384627086877E-2</v>
      </c>
      <c r="K399" s="738" cm="1">
        <f t="array" ref="K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Data'!$B:$B),_xlfn.XMATCH($B$4,'Talnagögn | Numerical Data'!$71:$71))</f>
        <v>-6.6791435425439261</v>
      </c>
      <c r="L399" s="738"/>
      <c r="M399" s="52" cm="1">
        <f t="array" ref="M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Data'!$B:$B),_xlfn.XMATCH($B$4,'Talnagögn | Numerical Data'!$71:$71))-1</f>
        <v>-5.0150129352341977E-2</v>
      </c>
      <c r="N399" s="721" cm="1">
        <f t="array" ref="N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Data'!$B:$B),_xlfn.XMATCH($B$5,'Talnagögn | Numerical Data'!$71:$71))</f>
        <v>-24.522581483008878</v>
      </c>
      <c r="O399" s="721"/>
      <c r="P399" s="8" cm="1">
        <f t="array" ref="P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Data'!$B:$B),_xlfn.XMATCH($B$5,'Talnagögn | Numerical Data'!$71:$71))-1</f>
        <v>-0.16237279705602758</v>
      </c>
      <c r="Q399" s="818"/>
      <c r="R399" s="818"/>
      <c r="S399" s="8"/>
      <c r="T399" s="818"/>
      <c r="U399" s="818"/>
      <c r="V399" s="8"/>
      <c r="W399" s="818"/>
      <c r="X399" s="818"/>
      <c r="Y399" s="8"/>
      <c r="Z399" s="818"/>
      <c r="AA399" s="818"/>
      <c r="AC399" s="377"/>
      <c r="AF399" s="414" t="str">
        <f>'Talnagögn | Numerical Data'!$E$73</f>
        <v>Fertilizer Use in Agriculture</v>
      </c>
      <c r="AG399" s="733" cm="1">
        <f t="array" ref="AG399">INDEX('Talnagögn | Numerical Data'!$1:$1048576,_xlfn.XMATCH($A399,'Talnagögn | Numerical Data'!$B:$B),_xlfn.XMATCH($B$2,'Talnagögn | Numerical Data'!$71:$71))</f>
        <v>126.50383382562947</v>
      </c>
      <c r="AH399" s="728"/>
      <c r="AI399" s="44">
        <f>$E$399/$E$405</f>
        <v>0.18230978546843357</v>
      </c>
      <c r="AJ399" s="721" cm="1">
        <f t="array" ref="AJ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Data'!$B:$B),_xlfn.XMATCH($B$3,'Talnagögn | Numerical Data'!$71:$71))</f>
        <v>-11.310172911938679</v>
      </c>
      <c r="AK399" s="721"/>
      <c r="AL399" s="52" cm="1">
        <f t="array" ref="AL399">INDEX('Talnagögn | Numerical Data'!$1:$1048576, _xlfn.XMATCH($A399,'Talnagögn | Numerical Data'!$B:$B), _xlfn.XMATCH($B$2,'Talnagögn | Numerical Data'!$71:$71))/INDEX('Talnagögn | Numerical Data'!$1:$1048576, _xlfn.XMATCH($A399,'Talnagögn | Numerical Data'!$B:$B), _xlfn.XMATCH($B$3,'Talnagögn | Numerical Data'!$71:$71))-1</f>
        <v>-8.2068384627086877E-2</v>
      </c>
      <c r="AM399" s="738" cm="1">
        <f t="array" ref="AM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Data'!$B:$B),_xlfn.XMATCH($B$4,'Talnagögn | Numerical Data'!$71:$71))</f>
        <v>-6.6791435425439261</v>
      </c>
      <c r="AN399" s="738"/>
      <c r="AO399" s="52" cm="1">
        <f t="array" ref="AO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Data'!$B:$B),_xlfn.XMATCH($B$4,'Talnagögn | Numerical Data'!$71:$71))-1</f>
        <v>-5.0150129352341977E-2</v>
      </c>
      <c r="AP399" s="721" cm="1">
        <f t="array" ref="AP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Data'!$B:$B),_xlfn.XMATCH($B$5,'Talnagögn | Numerical Data'!$71:$71))</f>
        <v>-24.522581483008878</v>
      </c>
      <c r="AQ399" s="721"/>
      <c r="AR399" s="8" cm="1">
        <f t="array" ref="AR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Data'!$B:$B),_xlfn.XMATCH($B$5,'Talnagögn | Numerical Data'!$71:$71))-1</f>
        <v>-0.16237279705602758</v>
      </c>
    </row>
    <row r="400" spans="1:54" s="1" customFormat="1" ht="21" customHeight="1" x14ac:dyDescent="0.25">
      <c r="A400" s="258" t="s">
        <v>125</v>
      </c>
      <c r="C400" s="617" t="s">
        <v>56</v>
      </c>
      <c r="D400" s="50" t="str">
        <f>'Talnagögn | Numerical Data'!$D$74</f>
        <v>Nautgripir</v>
      </c>
      <c r="E400" s="733" cm="1">
        <f t="array" ref="E400">INDEX('Talnagögn | Numerical Data'!$1:$1048576,_xlfn.XMATCH($A400,'Talnagögn | Numerical Data'!$B:$B),_xlfn.XMATCH($B$2,'Talnagögn | Numerical Data'!$71:$71))</f>
        <v>178.97421547805752</v>
      </c>
      <c r="F400" s="728"/>
      <c r="G400" s="44">
        <f>$E$400/$E$405</f>
        <v>0.25792697218299904</v>
      </c>
      <c r="H400" s="737" cm="1">
        <f t="array" ref="H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Data'!$B:$B),_xlfn.XMATCH($B$3,'Talnagögn | Numerical Data'!$71:$71))</f>
        <v>-2.0558965533453772</v>
      </c>
      <c r="I400" s="738"/>
      <c r="J400" s="52" cm="1">
        <f t="array" ref="J400">INDEX('Talnagögn | Numerical Data'!$1:$1048576, _xlfn.XMATCH($A400,'Talnagögn | Numerical Data'!$B:$B), _xlfn.XMATCH($B$2,'Talnagögn | Numerical Data'!$71:$71))/INDEX('Talnagögn | Numerical Data'!$1:$1048576, _xlfn.XMATCH($A400,'Talnagögn | Numerical Data'!$B:$B), _xlfn.XMATCH($B$3,'Talnagögn | Numerical Data'!$71:$71))-1</f>
        <v>-1.1356655145795536E-2</v>
      </c>
      <c r="K400" s="729" cm="1">
        <f t="array" ref="K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Data'!$B:$B),_xlfn.XMATCH($B$4,'Talnagögn | Numerical Data'!$71:$71))</f>
        <v>24.217809307025675</v>
      </c>
      <c r="L400" s="721"/>
      <c r="M400" s="44" cm="1">
        <f t="array" ref="M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Data'!$B:$B),_xlfn.XMATCH($B$4,'Talnagögn | Numerical Data'!$71:$71))-1</f>
        <v>0.15648986627578387</v>
      </c>
      <c r="N400" s="737" cm="1">
        <f t="array" ref="N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Data'!$B:$B),_xlfn.XMATCH($B$5,'Talnagögn | Numerical Data'!$71:$71))</f>
        <v>-9.0250046071209908</v>
      </c>
      <c r="O400" s="738"/>
      <c r="P400" s="42" cm="1">
        <f t="array" ref="P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Data'!$B:$B),_xlfn.XMATCH($B$5,'Talnagögn | Numerical Data'!$71:$71))-1</f>
        <v>-4.8005542805081625E-2</v>
      </c>
      <c r="Q400" s="818"/>
      <c r="R400" s="818"/>
      <c r="S400" s="8"/>
      <c r="T400" s="818"/>
      <c r="U400" s="818"/>
      <c r="V400" s="8"/>
      <c r="W400" s="818"/>
      <c r="X400" s="818"/>
      <c r="Y400" s="8"/>
      <c r="Z400" s="818"/>
      <c r="AA400" s="818"/>
      <c r="AC400" s="377"/>
      <c r="AF400" s="414" t="str">
        <f>'Talnagögn | Numerical Data'!$E$74</f>
        <v>Cattle</v>
      </c>
      <c r="AG400" s="733" cm="1">
        <f t="array" ref="AG400">INDEX('Talnagögn | Numerical Data'!$1:$1048576,_xlfn.XMATCH($A400,'Talnagögn | Numerical Data'!$B:$B),_xlfn.XMATCH($B$2,'Talnagögn | Numerical Data'!$71:$71))</f>
        <v>178.97421547805752</v>
      </c>
      <c r="AH400" s="728"/>
      <c r="AI400" s="44">
        <f>$E$400/$E$405</f>
        <v>0.25792697218299904</v>
      </c>
      <c r="AJ400" s="737" cm="1">
        <f t="array" ref="AJ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Data'!$B:$B),_xlfn.XMATCH($B$3,'Talnagögn | Numerical Data'!$71:$71))</f>
        <v>-2.0558965533453772</v>
      </c>
      <c r="AK400" s="738"/>
      <c r="AL400" s="52" cm="1">
        <f t="array" ref="AL400">INDEX('Talnagögn | Numerical Data'!$1:$1048576, _xlfn.XMATCH($A400,'Talnagögn | Numerical Data'!$B:$B), _xlfn.XMATCH($B$2,'Talnagögn | Numerical Data'!$71:$71))/INDEX('Talnagögn | Numerical Data'!$1:$1048576, _xlfn.XMATCH($A400,'Talnagögn | Numerical Data'!$B:$B), _xlfn.XMATCH($B$3,'Talnagögn | Numerical Data'!$71:$71))-1</f>
        <v>-1.1356655145795536E-2</v>
      </c>
      <c r="AM400" s="729" cm="1">
        <f t="array" ref="AM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Data'!$B:$B),_xlfn.XMATCH($B$4,'Talnagögn | Numerical Data'!$71:$71))</f>
        <v>24.217809307025675</v>
      </c>
      <c r="AN400" s="721"/>
      <c r="AO400" s="44" cm="1">
        <f t="array" ref="AO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Data'!$B:$B),_xlfn.XMATCH($B$4,'Talnagögn | Numerical Data'!$71:$71))-1</f>
        <v>0.15648986627578387</v>
      </c>
      <c r="AP400" s="737" cm="1">
        <f t="array" ref="AP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Data'!$B:$B),_xlfn.XMATCH($B$5,'Talnagögn | Numerical Data'!$71:$71))</f>
        <v>-9.0250046071209908</v>
      </c>
      <c r="AQ400" s="738"/>
      <c r="AR400" s="42" cm="1">
        <f t="array" ref="AR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Data'!$B:$B),_xlfn.XMATCH($B$5,'Talnagögn | Numerical Data'!$71:$71))-1</f>
        <v>-4.8005542805081625E-2</v>
      </c>
    </row>
    <row r="401" spans="1:44" s="1" customFormat="1" ht="21" customHeight="1" x14ac:dyDescent="0.25">
      <c r="A401" s="258" t="s">
        <v>126</v>
      </c>
      <c r="C401" s="617" t="s">
        <v>56</v>
      </c>
      <c r="D401" s="50" t="str">
        <f>'Talnagögn | Numerical Data'!$D$78</f>
        <v>Sauðfé</v>
      </c>
      <c r="E401" s="733" cm="1">
        <f t="array" ref="E401">INDEX('Talnagögn | Numerical Data'!$1:$1048576,_xlfn.XMATCH($A401,'Talnagögn | Numerical Data'!$B:$B),_xlfn.XMATCH($B$2,'Talnagögn | Numerical Data'!$71:$71))</f>
        <v>143.1725515504483</v>
      </c>
      <c r="F401" s="728"/>
      <c r="G401" s="52">
        <f>$E$401/$E$405</f>
        <v>0.20633174796985718</v>
      </c>
      <c r="H401" s="737" cm="1">
        <f t="array" ref="H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Data'!$B:$B),_xlfn.XMATCH($B$3,'Talnagögn | Numerical Data'!$71:$71))</f>
        <v>-5.6327945821464596</v>
      </c>
      <c r="I401" s="738"/>
      <c r="J401" s="52" cm="1">
        <f t="array" ref="J401">INDEX('Talnagögn | Numerical Data'!$1:$1048576, _xlfn.XMATCH($A401,'Talnagögn | Numerical Data'!$B:$B), _xlfn.XMATCH($B$2,'Talnagögn | Numerical Data'!$71:$71))/INDEX('Talnagögn | Numerical Data'!$1:$1048576, _xlfn.XMATCH($A401,'Talnagögn | Numerical Data'!$B:$B), _xlfn.XMATCH($B$3,'Talnagögn | Numerical Data'!$71:$71))-1</f>
        <v>-3.7853442289145223E-2</v>
      </c>
      <c r="K401" s="729" cm="1">
        <f t="array" ref="K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Data'!$B:$B),_xlfn.XMATCH($B$4,'Talnagögn | Numerical Data'!$71:$71))</f>
        <v>-42.054475517171284</v>
      </c>
      <c r="L401" s="721"/>
      <c r="M401" s="44" cm="1">
        <f t="array" ref="M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Data'!$B:$B),_xlfn.XMATCH($B$4,'Talnagögn | Numerical Data'!$71:$71))-1</f>
        <v>-0.22704286832730269</v>
      </c>
      <c r="N401" s="729" cm="1">
        <f t="array" ref="N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Data'!$B:$B),_xlfn.XMATCH($B$5,'Talnagögn | Numerical Data'!$71:$71))</f>
        <v>-89.505596023246142</v>
      </c>
      <c r="O401" s="721"/>
      <c r="P401" s="8" cm="1">
        <f t="array" ref="P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Data'!$B:$B),_xlfn.XMATCH($B$5,'Talnagögn | Numerical Data'!$71:$71))-1</f>
        <v>-0.38467555701550227</v>
      </c>
      <c r="Q401" s="818"/>
      <c r="R401" s="818"/>
      <c r="S401" s="8"/>
      <c r="T401" s="818"/>
      <c r="U401" s="818"/>
      <c r="V401" s="8"/>
      <c r="W401" s="818"/>
      <c r="X401" s="818"/>
      <c r="Y401" s="8"/>
      <c r="Z401" s="818"/>
      <c r="AA401" s="818"/>
      <c r="AC401" s="377"/>
      <c r="AF401" s="414" t="str">
        <f>'Talnagögn | Numerical Data'!$E$78</f>
        <v>Sheep</v>
      </c>
      <c r="AG401" s="733" cm="1">
        <f t="array" ref="AG401">INDEX('Talnagögn | Numerical Data'!$1:$1048576,_xlfn.XMATCH($A401,'Talnagögn | Numerical Data'!$B:$B),_xlfn.XMATCH($B$2,'Talnagögn | Numerical Data'!$71:$71))</f>
        <v>143.1725515504483</v>
      </c>
      <c r="AH401" s="728"/>
      <c r="AI401" s="44">
        <f>$E$401/$E$405</f>
        <v>0.20633174796985718</v>
      </c>
      <c r="AJ401" s="737" cm="1">
        <f t="array" ref="AJ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Data'!$B:$B),_xlfn.XMATCH($B$3,'Talnagögn | Numerical Data'!$71:$71))</f>
        <v>-5.6327945821464596</v>
      </c>
      <c r="AK401" s="738"/>
      <c r="AL401" s="52" cm="1">
        <f t="array" ref="AL401">INDEX('Talnagögn | Numerical Data'!$1:$1048576, _xlfn.XMATCH($A401,'Talnagögn | Numerical Data'!$B:$B), _xlfn.XMATCH($B$2,'Talnagögn | Numerical Data'!$71:$71))/INDEX('Talnagögn | Numerical Data'!$1:$1048576, _xlfn.XMATCH($A401,'Talnagögn | Numerical Data'!$B:$B), _xlfn.XMATCH($B$3,'Talnagögn | Numerical Data'!$71:$71))-1</f>
        <v>-3.7853442289145223E-2</v>
      </c>
      <c r="AM401" s="729" cm="1">
        <f t="array" ref="AM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Data'!$B:$B),_xlfn.XMATCH($B$4,'Talnagögn | Numerical Data'!$71:$71))</f>
        <v>-42.054475517171284</v>
      </c>
      <c r="AN401" s="721"/>
      <c r="AO401" s="44" cm="1">
        <f t="array" ref="AO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Data'!$B:$B),_xlfn.XMATCH($B$4,'Talnagögn | Numerical Data'!$71:$71))-1</f>
        <v>-0.22704286832730269</v>
      </c>
      <c r="AP401" s="729" cm="1">
        <f t="array" ref="AP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Data'!$B:$B),_xlfn.XMATCH($B$5,'Talnagögn | Numerical Data'!$71:$71))</f>
        <v>-89.505596023246142</v>
      </c>
      <c r="AQ401" s="721"/>
      <c r="AR401" s="8" cm="1">
        <f t="array" ref="AR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Data'!$B:$B),_xlfn.XMATCH($B$5,'Talnagögn | Numerical Data'!$71:$71))-1</f>
        <v>-0.38467555701550227</v>
      </c>
    </row>
    <row r="402" spans="1:44" s="1" customFormat="1" ht="21" customHeight="1" x14ac:dyDescent="0.25">
      <c r="A402" s="258" t="s">
        <v>127</v>
      </c>
      <c r="C402" s="617" t="s">
        <v>56</v>
      </c>
      <c r="D402" s="50" t="str">
        <f>'Talnagögn | Numerical Data'!$D$82</f>
        <v>Hestar</v>
      </c>
      <c r="E402" s="733" cm="1">
        <f t="array" ref="E402">INDEX('Talnagögn | Numerical Data'!$1:$1048576,_xlfn.XMATCH($A402,'Talnagögn | Numerical Data'!$B:$B),_xlfn.XMATCH($B$2,'Talnagögn | Numerical Data'!$71:$71))</f>
        <v>26.816713905848427</v>
      </c>
      <c r="F402" s="728"/>
      <c r="G402" s="52">
        <f>$E$402/$E$405</f>
        <v>3.8646649759899156E-2</v>
      </c>
      <c r="H402" s="751" cm="1">
        <f t="array" ref="H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Data'!$B:$B),_xlfn.XMATCH($B$3,'Talnagögn | Numerical Data'!$71:$71))</f>
        <v>-0.58459541493180467</v>
      </c>
      <c r="I402" s="752"/>
      <c r="J402" s="52" cm="1">
        <f t="array" ref="J402">INDEX('Talnagögn | Numerical Data'!$1:$1048576, _xlfn.XMATCH($A402,'Talnagögn | Numerical Data'!$B:$B), _xlfn.XMATCH($B$2,'Talnagögn | Numerical Data'!$71:$71))/INDEX('Talnagögn | Numerical Data'!$1:$1048576, _xlfn.XMATCH($A402,'Talnagögn | Numerical Data'!$B:$B), _xlfn.XMATCH($B$3,'Talnagögn | Numerical Data'!$71:$71))-1</f>
        <v>-2.1334579603043524E-2</v>
      </c>
      <c r="K402" s="737" cm="1">
        <f t="array" ref="K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Data'!$B:$B),_xlfn.XMATCH($B$4,'Talnagögn | Numerical Data'!$71:$71))</f>
        <v>-3.2031830226798021</v>
      </c>
      <c r="L402" s="738"/>
      <c r="M402" s="44" cm="1">
        <f t="array" ref="M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Data'!$B:$B),_xlfn.XMATCH($B$4,'Talnagögn | Numerical Data'!$71:$71))-1</f>
        <v>-0.10670199935416114</v>
      </c>
      <c r="N402" s="737" cm="1">
        <f t="array" ref="N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Data'!$B:$B),_xlfn.XMATCH($B$5,'Talnagögn | Numerical Data'!$71:$71))</f>
        <v>-2.0401450598477915</v>
      </c>
      <c r="O402" s="738"/>
      <c r="P402" s="42" cm="1">
        <f t="array" ref="P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Data'!$B:$B),_xlfn.XMATCH($B$5,'Talnagögn | Numerical Data'!$71:$71))-1</f>
        <v>-7.0698791655496085E-2</v>
      </c>
      <c r="Q402" s="818"/>
      <c r="R402" s="818"/>
      <c r="S402" s="8"/>
      <c r="T402" s="818"/>
      <c r="U402" s="818"/>
      <c r="V402" s="8"/>
      <c r="W402" s="818"/>
      <c r="X402" s="818"/>
      <c r="Y402" s="8"/>
      <c r="Z402" s="818"/>
      <c r="AA402" s="818"/>
      <c r="AC402" s="377"/>
      <c r="AF402" s="414" t="str">
        <f>'Talnagögn | Numerical Data'!$E$82</f>
        <v>Horses</v>
      </c>
      <c r="AG402" s="733" cm="1">
        <f t="array" ref="AG402">INDEX('Talnagögn | Numerical Data'!$1:$1048576,_xlfn.XMATCH($A402,'Talnagögn | Numerical Data'!$B:$B),_xlfn.XMATCH($B$2,'Talnagögn | Numerical Data'!$71:$71))</f>
        <v>26.816713905848427</v>
      </c>
      <c r="AH402" s="728"/>
      <c r="AI402" s="52">
        <f>$E$402/$E$405</f>
        <v>3.8646649759899156E-2</v>
      </c>
      <c r="AJ402" s="751" cm="1">
        <f t="array" ref="AJ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Data'!$B:$B),_xlfn.XMATCH($B$3,'Talnagögn | Numerical Data'!$71:$71))</f>
        <v>-0.58459541493180467</v>
      </c>
      <c r="AK402" s="752"/>
      <c r="AL402" s="52" cm="1">
        <f t="array" ref="AL402">INDEX('Talnagögn | Numerical Data'!$1:$1048576, _xlfn.XMATCH($A402,'Talnagögn | Numerical Data'!$B:$B), _xlfn.XMATCH($B$2,'Talnagögn | Numerical Data'!$71:$71))/INDEX('Talnagögn | Numerical Data'!$1:$1048576, _xlfn.XMATCH($A402,'Talnagögn | Numerical Data'!$B:$B), _xlfn.XMATCH($B$3,'Talnagögn | Numerical Data'!$71:$71))-1</f>
        <v>-2.1334579603043524E-2</v>
      </c>
      <c r="AM402" s="737" cm="1">
        <f t="array" ref="AM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Data'!$B:$B),_xlfn.XMATCH($B$4,'Talnagögn | Numerical Data'!$71:$71))</f>
        <v>-3.2031830226798021</v>
      </c>
      <c r="AN402" s="738"/>
      <c r="AO402" s="44" cm="1">
        <f t="array" ref="AO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Data'!$B:$B),_xlfn.XMATCH($B$4,'Talnagögn | Numerical Data'!$71:$71))-1</f>
        <v>-0.10670199935416114</v>
      </c>
      <c r="AP402" s="737" cm="1">
        <f t="array" ref="AP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Data'!$B:$B),_xlfn.XMATCH($B$5,'Talnagögn | Numerical Data'!$71:$71))</f>
        <v>-2.0401450598477915</v>
      </c>
      <c r="AQ402" s="738"/>
      <c r="AR402" s="42" cm="1">
        <f t="array" ref="AR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Data'!$B:$B),_xlfn.XMATCH($B$5,'Talnagögn | Numerical Data'!$71:$71))-1</f>
        <v>-7.0698791655496085E-2</v>
      </c>
    </row>
    <row r="403" spans="1:44" s="1" customFormat="1" ht="21" customHeight="1" x14ac:dyDescent="0.25">
      <c r="A403" s="258" t="s">
        <v>83</v>
      </c>
      <c r="C403" s="617" t="s">
        <v>56</v>
      </c>
      <c r="D403" s="51" t="str">
        <f>'Talnagögn | Numerical Data'!$D$86</f>
        <v>Framræst land (N₂O)</v>
      </c>
      <c r="E403" s="733" cm="1">
        <f t="array" ref="E403">INDEX('Talnagögn | Numerical Data'!$1:$1048576,_xlfn.XMATCH($A403,'Talnagögn | Numerical Data'!$B:$B),_xlfn.XMATCH($B$2,'Talnagögn | Numerical Data'!$71:$71))</f>
        <v>198.71402688906983</v>
      </c>
      <c r="F403" s="728"/>
      <c r="G403" s="44">
        <f>$E$403/$E$405</f>
        <v>0.28637481186262059</v>
      </c>
      <c r="H403" s="751" cm="1">
        <f t="array" ref="H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Data'!$B:$B),_xlfn.XMATCH($B$3,'Talnagögn | Numerical Data'!$71:$71))</f>
        <v>0.95306105731947355</v>
      </c>
      <c r="I403" s="752"/>
      <c r="J403" s="115" cm="1">
        <f t="array" ref="J403">INDEX('Talnagögn | Numerical Data'!$1:$1048576, _xlfn.XMATCH($A403,'Talnagögn | Numerical Data'!$B:$B), _xlfn.XMATCH($B$2,'Talnagögn | Numerical Data'!$71:$71))/INDEX('Talnagögn | Numerical Data'!$1:$1048576, _xlfn.XMATCH($A403,'Talnagögn | Numerical Data'!$B:$B), _xlfn.XMATCH($B$3,'Talnagögn | Numerical Data'!$71:$71))-1</f>
        <v>4.8192576998755676E-3</v>
      </c>
      <c r="K403" s="729" cm="1">
        <f t="array" ref="K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Data'!$B:$B),_xlfn.XMATCH($B$4,'Talnagögn | Numerical Data'!$71:$71))</f>
        <v>12.835323275241393</v>
      </c>
      <c r="L403" s="721"/>
      <c r="M403" s="52" cm="1">
        <f t="array" ref="M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Data'!$B:$B),_xlfn.XMATCH($B$4,'Talnagögn | Numerical Data'!$71:$71))-1</f>
        <v>6.9052145435161583E-2</v>
      </c>
      <c r="N403" s="729" cm="1">
        <f t="array" ref="N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Data'!$B:$B),_xlfn.XMATCH($B$5,'Talnagögn | Numerical Data'!$71:$71))</f>
        <v>64.516154045036416</v>
      </c>
      <c r="O403" s="721"/>
      <c r="P403" s="8" cm="1">
        <f t="array" ref="P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Data'!$B:$B),_xlfn.XMATCH($B$5,'Talnagögn | Numerical Data'!$71:$71))-1</f>
        <v>0.48075392461710598</v>
      </c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C403" s="377"/>
      <c r="AF403" s="414" t="str">
        <f>'Talnagögn | Numerical Data'!$E$86</f>
        <v>Cultivation of Organic Soils (N₂O)</v>
      </c>
      <c r="AG403" s="733" cm="1">
        <f t="array" ref="AG403">INDEX('Talnagögn | Numerical Data'!$1:$1048576,_xlfn.XMATCH($A403,'Talnagögn | Numerical Data'!$B:$B),_xlfn.XMATCH($B$2,'Talnagögn | Numerical Data'!$71:$71))</f>
        <v>198.71402688906983</v>
      </c>
      <c r="AH403" s="728"/>
      <c r="AI403" s="44">
        <f>$E$403/$E$405</f>
        <v>0.28637481186262059</v>
      </c>
      <c r="AJ403" s="751" cm="1">
        <f t="array" ref="AJ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Data'!$B:$B),_xlfn.XMATCH($B$3,'Talnagögn | Numerical Data'!$71:$71))</f>
        <v>0.95306105731947355</v>
      </c>
      <c r="AK403" s="752"/>
      <c r="AL403" s="115" cm="1">
        <f t="array" ref="AL403">INDEX('Talnagögn | Numerical Data'!$1:$1048576, _xlfn.XMATCH($A403,'Talnagögn | Numerical Data'!$B:$B), _xlfn.XMATCH($B$2,'Talnagögn | Numerical Data'!$71:$71))/INDEX('Talnagögn | Numerical Data'!$1:$1048576, _xlfn.XMATCH($A403,'Talnagögn | Numerical Data'!$B:$B), _xlfn.XMATCH($B$3,'Talnagögn | Numerical Data'!$71:$71))-1</f>
        <v>4.8192576998755676E-3</v>
      </c>
      <c r="AM403" s="729" cm="1">
        <f t="array" ref="AM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Data'!$B:$B),_xlfn.XMATCH($B$4,'Talnagögn | Numerical Data'!$71:$71))</f>
        <v>12.835323275241393</v>
      </c>
      <c r="AN403" s="721"/>
      <c r="AO403" s="52" cm="1">
        <f t="array" ref="AO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Data'!$B:$B),_xlfn.XMATCH($B$4,'Talnagögn | Numerical Data'!$71:$71))-1</f>
        <v>6.9052145435161583E-2</v>
      </c>
      <c r="AP403" s="729" cm="1">
        <f t="array" ref="AP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Data'!$B:$B),_xlfn.XMATCH($B$5,'Talnagögn | Numerical Data'!$71:$71))</f>
        <v>64.516154045036416</v>
      </c>
      <c r="AQ403" s="721"/>
      <c r="AR403" s="8" cm="1">
        <f t="array" ref="AR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Data'!$B:$B),_xlfn.XMATCH($B$5,'Talnagögn | Numerical Data'!$71:$71))-1</f>
        <v>0.48075392461710598</v>
      </c>
    </row>
    <row r="404" spans="1:44" s="1" customFormat="1" ht="21" customHeight="1" x14ac:dyDescent="0.25">
      <c r="A404" s="258" t="s">
        <v>128</v>
      </c>
      <c r="B404" s="182" t="s">
        <v>56</v>
      </c>
      <c r="C404" s="617" t="s">
        <v>56</v>
      </c>
      <c r="D404" s="104" t="str">
        <f>'Talnagögn | Numerical Data'!$D$87</f>
        <v>Önnur losun</v>
      </c>
      <c r="E404" s="766" cm="1">
        <f t="array" ref="E404">INDEX('Talnagögn | Numerical Data'!$1:$1048576,_xlfn.XMATCH($A404,'Talnagögn | Numerical Data'!$B:$B),_xlfn.XMATCH($B$2,'Talnagögn | Numerical Data'!$71:$71))</f>
        <v>19.713577378939362</v>
      </c>
      <c r="F404" s="767"/>
      <c r="G404" s="105">
        <f>$E$404/$E$405</f>
        <v>2.8410032756190397E-2</v>
      </c>
      <c r="H404" s="741" cm="1">
        <f t="array" ref="H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Data'!$B:$B),_xlfn.XMATCH($B$3,'Talnagögn | Numerical Data'!$71:$71))</f>
        <v>-0.75670547406002697</v>
      </c>
      <c r="I404" s="742"/>
      <c r="J404" s="105" cm="1">
        <f t="array" ref="J404">INDEX('Talnagögn | Numerical Data'!$1:$1048576, _xlfn.XMATCH($A404,'Talnagögn | Numerical Data'!$B:$B), _xlfn.XMATCH($B$2,'Talnagögn | Numerical Data'!$71:$71))/INDEX('Talnagögn | Numerical Data'!$1:$1048576, _xlfn.XMATCH($A404,'Talnagögn | Numerical Data'!$B:$B), _xlfn.XMATCH($B$3,'Talnagögn | Numerical Data'!$71:$71))-1</f>
        <v>-3.696604875927012E-2</v>
      </c>
      <c r="K404" s="753" cm="1">
        <f t="array" ref="K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Data'!$B:$B),_xlfn.XMATCH($B$4,'Talnagögn | Numerical Data'!$71:$71))</f>
        <v>-2.3543983640059878</v>
      </c>
      <c r="L404" s="754"/>
      <c r="M404" s="101" cm="1">
        <f t="array" ref="M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Data'!$B:$B),_xlfn.XMATCH($B$4,'Talnagögn | Numerical Data'!$71:$71))-1</f>
        <v>-0.10668846075556515</v>
      </c>
      <c r="N404" s="753" cm="1">
        <f t="array" ref="N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Data'!$B:$B),_xlfn.XMATCH($B$5,'Talnagögn | Numerical Data'!$71:$71))</f>
        <v>-2.7937439783805758</v>
      </c>
      <c r="O404" s="754"/>
      <c r="P404" s="99" cm="1">
        <f t="array" ref="P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Data'!$B:$B),_xlfn.XMATCH($B$5,'Talnagögn | Numerical Data'!$71:$71))-1</f>
        <v>-0.12412600922286032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C404" s="377"/>
      <c r="AF404" s="104" t="str">
        <f>'Talnagögn | Numerical Data'!$E$87</f>
        <v>Other Emissions</v>
      </c>
      <c r="AG404" s="766" cm="1">
        <f t="array" ref="AG404">INDEX('Talnagögn | Numerical Data'!$1:$1048576,_xlfn.XMATCH($A404,'Talnagögn | Numerical Data'!$B:$B),_xlfn.XMATCH($B$2,'Talnagögn | Numerical Data'!$71:$71))</f>
        <v>19.713577378939362</v>
      </c>
      <c r="AH404" s="767"/>
      <c r="AI404" s="105">
        <f>$E$404/$E$405</f>
        <v>2.8410032756190397E-2</v>
      </c>
      <c r="AJ404" s="741" cm="1">
        <f t="array" ref="AJ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Data'!$B:$B),_xlfn.XMATCH($B$3,'Talnagögn | Numerical Data'!$71:$71))</f>
        <v>-0.75670547406002697</v>
      </c>
      <c r="AK404" s="742"/>
      <c r="AL404" s="105" cm="1">
        <f t="array" ref="AL404">INDEX('Talnagögn | Numerical Data'!$1:$1048576, _xlfn.XMATCH($A404,'Talnagögn | Numerical Data'!$B:$B), _xlfn.XMATCH($B$2,'Talnagögn | Numerical Data'!$71:$71))/INDEX('Talnagögn | Numerical Data'!$1:$1048576, _xlfn.XMATCH($A404,'Talnagögn | Numerical Data'!$B:$B), _xlfn.XMATCH($B$3,'Talnagögn | Numerical Data'!$71:$71))-1</f>
        <v>-3.696604875927012E-2</v>
      </c>
      <c r="AM404" s="753" cm="1">
        <f t="array" ref="AM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Data'!$B:$B),_xlfn.XMATCH($B$4,'Talnagögn | Numerical Data'!$71:$71))</f>
        <v>-2.3543983640059878</v>
      </c>
      <c r="AN404" s="754"/>
      <c r="AO404" s="101" cm="1">
        <f t="array" ref="AO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Data'!$B:$B),_xlfn.XMATCH($B$4,'Talnagögn | Numerical Data'!$71:$71))-1</f>
        <v>-0.10668846075556515</v>
      </c>
      <c r="AP404" s="753" cm="1">
        <f t="array" ref="AP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Data'!$B:$B),_xlfn.XMATCH($B$5,'Talnagögn | Numerical Data'!$71:$71))</f>
        <v>-2.7937439783805758</v>
      </c>
      <c r="AQ404" s="754"/>
      <c r="AR404" s="99" cm="1">
        <f t="array" ref="AR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Data'!$B:$B),_xlfn.XMATCH($B$5,'Talnagögn | Numerical Data'!$71:$71))-1</f>
        <v>-0.12412600922286032</v>
      </c>
    </row>
    <row r="405" spans="1:44" ht="29.25" customHeight="1" x14ac:dyDescent="0.25">
      <c r="A405" s="258" t="s">
        <v>52</v>
      </c>
      <c r="B405" s="16" t="s">
        <v>56</v>
      </c>
      <c r="C405" s="617" t="s">
        <v>56</v>
      </c>
      <c r="D405" s="46" t="s">
        <v>13</v>
      </c>
      <c r="E405" s="710" cm="1">
        <f t="array" ref="E405">INDEX('Talnagögn | Numerical Data'!$1:$1048576,_xlfn.XMATCH($A405,'Talnagögn | Numerical Data'!$B:$B),_xlfn.XMATCH($B$2,'Talnagögn | Numerical Data'!$71:$71))</f>
        <v>693.89491902799296</v>
      </c>
      <c r="F405" s="711"/>
      <c r="G405" s="47">
        <f>SUM(G399:G404)</f>
        <v>0.99999999999999989</v>
      </c>
      <c r="H405" s="710" cm="1">
        <f t="array" ref="H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Data'!$B:$B),_xlfn.XMATCH($B$3,'Talnagögn | Numerical Data'!$71:$71))</f>
        <v>-19.387103879102824</v>
      </c>
      <c r="I405" s="711"/>
      <c r="J405" s="53" cm="1">
        <f t="array" ref="J405">INDEX('Talnagögn | Numerical Data'!$1:$1048576, _xlfn.XMATCH($A405,'Talnagögn | Numerical Data'!$B:$B), _xlfn.XMATCH($B$2,'Talnagögn | Numerical Data'!$71:$71))/INDEX('Talnagögn | Numerical Data'!$1:$1048576, _xlfn.XMATCH($A405,'Talnagögn | Numerical Data'!$B:$B), _xlfn.XMATCH($B$3,'Talnagögn | Numerical Data'!$71:$71))-1</f>
        <v>-2.7180138089121564E-2</v>
      </c>
      <c r="K405" s="710" cm="1">
        <f t="array" ref="K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Data'!$B:$B),_xlfn.XMATCH($B$4,'Talnagögn | Numerical Data'!$71:$71))</f>
        <v>-17.238067864133882</v>
      </c>
      <c r="L405" s="711"/>
      <c r="M405" s="53" cm="1">
        <f t="array" ref="M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Data'!$B:$B),_xlfn.XMATCH($B$4,'Talnagögn | Numerical Data'!$71:$71))-1</f>
        <v>-2.4240287234416735E-2</v>
      </c>
      <c r="N405" s="710" cm="1">
        <f t="array" ref="N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Data'!$B:$B),_xlfn.XMATCH($B$5,'Talnagögn | Numerical Data'!$71:$71))</f>
        <v>-63.370917106567958</v>
      </c>
      <c r="O405" s="711"/>
      <c r="P405" s="54" cm="1">
        <f t="array" ref="P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Data'!$B:$B),_xlfn.XMATCH($B$5,'Talnagögn | Numerical Data'!$71:$71))-1</f>
        <v>-8.368384533236406E-2</v>
      </c>
      <c r="Q405" s="712"/>
      <c r="R405" s="712"/>
      <c r="S405" s="12"/>
      <c r="T405" s="712"/>
      <c r="U405" s="712"/>
      <c r="V405" s="12"/>
      <c r="W405" s="712"/>
      <c r="X405" s="712"/>
      <c r="Y405" s="12"/>
      <c r="Z405" s="712"/>
      <c r="AA405" s="712"/>
      <c r="AC405" s="383"/>
      <c r="AF405" s="46" t="s">
        <v>211</v>
      </c>
      <c r="AG405" s="710" cm="1">
        <f t="array" ref="AG405">INDEX('Talnagögn | Numerical Data'!$1:$1048576,_xlfn.XMATCH($A405,'Talnagögn | Numerical Data'!$B:$B),_xlfn.XMATCH($B$2,'Talnagögn | Numerical Data'!$71:$71))</f>
        <v>693.89491902799296</v>
      </c>
      <c r="AH405" s="711"/>
      <c r="AI405" s="47">
        <f>SUM(AI399:AI404)</f>
        <v>0.99999999999999989</v>
      </c>
      <c r="AJ405" s="710" cm="1">
        <f t="array" ref="AJ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Data'!$B:$B),_xlfn.XMATCH($B$3,'Talnagögn | Numerical Data'!$71:$71))</f>
        <v>-19.387103879102824</v>
      </c>
      <c r="AK405" s="711"/>
      <c r="AL405" s="53" cm="1">
        <f t="array" ref="AL405">INDEX('Talnagögn | Numerical Data'!$1:$1048576, _xlfn.XMATCH($A405,'Talnagögn | Numerical Data'!$B:$B), _xlfn.XMATCH($B$2,'Talnagögn | Numerical Data'!$71:$71))/INDEX('Talnagögn | Numerical Data'!$1:$1048576, _xlfn.XMATCH($A405,'Talnagögn | Numerical Data'!$B:$B), _xlfn.XMATCH($B$3,'Talnagögn | Numerical Data'!$71:$71))-1</f>
        <v>-2.7180138089121564E-2</v>
      </c>
      <c r="AM405" s="710" cm="1">
        <f t="array" ref="AM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Data'!$B:$B),_xlfn.XMATCH($B$4,'Talnagögn | Numerical Data'!$71:$71))</f>
        <v>-17.238067864133882</v>
      </c>
      <c r="AN405" s="711"/>
      <c r="AO405" s="53" cm="1">
        <f t="array" ref="AO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Data'!$B:$B),_xlfn.XMATCH($B$4,'Talnagögn | Numerical Data'!$71:$71))-1</f>
        <v>-2.4240287234416735E-2</v>
      </c>
      <c r="AP405" s="710" cm="1">
        <f t="array" ref="AP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Data'!$B:$B),_xlfn.XMATCH($B$5,'Talnagögn | Numerical Data'!$71:$71))</f>
        <v>-63.370917106567958</v>
      </c>
      <c r="AQ405" s="711"/>
      <c r="AR405" s="54" cm="1">
        <f t="array" ref="AR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Data'!$B:$B),_xlfn.XMATCH($B$5,'Talnagögn | Numerical Data'!$71:$71))-1</f>
        <v>-8.368384533236406E-2</v>
      </c>
    </row>
    <row r="406" spans="1:44" s="1" customFormat="1" x14ac:dyDescent="0.25">
      <c r="A406" s="255"/>
      <c r="B406" s="9" t="s">
        <v>56</v>
      </c>
      <c r="C406" s="617" t="s">
        <v>56</v>
      </c>
      <c r="AC406" s="377"/>
    </row>
    <row r="407" spans="1:44" s="1" customFormat="1" x14ac:dyDescent="0.25">
      <c r="A407" s="255"/>
      <c r="B407" s="9" t="s">
        <v>56</v>
      </c>
      <c r="C407" s="617" t="s">
        <v>56</v>
      </c>
      <c r="AC407" s="377"/>
    </row>
    <row r="408" spans="1:44" s="1" customFormat="1" x14ac:dyDescent="0.25">
      <c r="A408" s="255"/>
      <c r="B408" s="9" t="s">
        <v>56</v>
      </c>
      <c r="C408" s="617" t="s">
        <v>56</v>
      </c>
      <c r="AC408" s="377"/>
    </row>
    <row r="409" spans="1:44" s="1" customFormat="1" x14ac:dyDescent="0.25">
      <c r="A409" s="255"/>
      <c r="B409" s="9"/>
      <c r="C409" s="617" t="s">
        <v>56</v>
      </c>
      <c r="AC409" s="377"/>
    </row>
    <row r="410" spans="1:44" s="1" customFormat="1" x14ac:dyDescent="0.25">
      <c r="A410" s="255"/>
      <c r="B410" s="9"/>
      <c r="C410" s="617" t="s">
        <v>56</v>
      </c>
      <c r="AC410" s="377"/>
    </row>
    <row r="411" spans="1:44" s="1" customFormat="1" x14ac:dyDescent="0.25">
      <c r="A411" s="255"/>
      <c r="B411" s="9"/>
      <c r="C411" s="617" t="s">
        <v>56</v>
      </c>
      <c r="AC411" s="377"/>
    </row>
    <row r="412" spans="1:44" s="1" customFormat="1" x14ac:dyDescent="0.25">
      <c r="A412" s="255"/>
      <c r="B412" s="9"/>
      <c r="C412" s="617" t="s">
        <v>56</v>
      </c>
      <c r="AC412" s="377"/>
    </row>
    <row r="413" spans="1:44" s="1" customFormat="1" x14ac:dyDescent="0.25">
      <c r="A413" s="255"/>
      <c r="B413" s="9"/>
      <c r="C413" s="617" t="s">
        <v>56</v>
      </c>
      <c r="AC413" s="377"/>
    </row>
    <row r="414" spans="1:44" s="1" customFormat="1" x14ac:dyDescent="0.25">
      <c r="A414" s="255"/>
      <c r="B414" s="9"/>
      <c r="C414" s="617" t="s">
        <v>56</v>
      </c>
      <c r="AC414" s="377"/>
    </row>
    <row r="415" spans="1:44" s="1" customFormat="1" x14ac:dyDescent="0.25">
      <c r="A415" s="255"/>
      <c r="B415" s="9"/>
      <c r="C415" s="617" t="s">
        <v>56</v>
      </c>
      <c r="AC415" s="377"/>
    </row>
    <row r="416" spans="1:44" s="1" customFormat="1" x14ac:dyDescent="0.25">
      <c r="A416" s="255"/>
      <c r="C416" s="617" t="s">
        <v>56</v>
      </c>
      <c r="AC416" s="377"/>
    </row>
    <row r="417" spans="1:29" s="1" customFormat="1" ht="15" customHeight="1" x14ac:dyDescent="0.25">
      <c r="A417" s="255"/>
      <c r="C417" s="617" t="s">
        <v>56</v>
      </c>
      <c r="AC417" s="377"/>
    </row>
    <row r="418" spans="1:29" s="1" customFormat="1" ht="15" customHeight="1" x14ac:dyDescent="0.25">
      <c r="A418" s="255"/>
      <c r="C418" s="617" t="s">
        <v>56</v>
      </c>
      <c r="AC418" s="377"/>
    </row>
    <row r="419" spans="1:29" s="1" customFormat="1" ht="15" customHeight="1" x14ac:dyDescent="0.25">
      <c r="A419" s="255"/>
      <c r="C419" s="617" t="s">
        <v>56</v>
      </c>
      <c r="AC419" s="377"/>
    </row>
    <row r="420" spans="1:29" s="1" customFormat="1" x14ac:dyDescent="0.25">
      <c r="A420" s="255"/>
      <c r="C420" s="617" t="s">
        <v>56</v>
      </c>
      <c r="AC420" s="377"/>
    </row>
    <row r="421" spans="1:29" s="1" customFormat="1" x14ac:dyDescent="0.25">
      <c r="A421" s="255"/>
      <c r="B421" s="9"/>
      <c r="C421" s="617" t="s">
        <v>56</v>
      </c>
      <c r="AC421" s="377"/>
    </row>
    <row r="422" spans="1:29" s="1" customFormat="1" x14ac:dyDescent="0.25">
      <c r="A422" s="255"/>
      <c r="B422" s="9"/>
      <c r="C422" s="617" t="s">
        <v>56</v>
      </c>
      <c r="AC422" s="377"/>
    </row>
    <row r="423" spans="1:29" s="1" customFormat="1" x14ac:dyDescent="0.25">
      <c r="A423" s="255"/>
      <c r="B423" s="9"/>
      <c r="C423" s="617" t="s">
        <v>56</v>
      </c>
      <c r="AC423" s="377"/>
    </row>
    <row r="424" spans="1:29" s="1" customFormat="1" x14ac:dyDescent="0.25">
      <c r="A424" s="255"/>
      <c r="B424" s="9"/>
      <c r="C424" s="617" t="s">
        <v>56</v>
      </c>
      <c r="AC424" s="377"/>
    </row>
    <row r="425" spans="1:29" s="1" customFormat="1" x14ac:dyDescent="0.25">
      <c r="A425" s="255"/>
      <c r="B425" s="9"/>
      <c r="C425" s="617" t="s">
        <v>56</v>
      </c>
      <c r="AC425" s="377"/>
    </row>
    <row r="426" spans="1:29" s="1" customFormat="1" x14ac:dyDescent="0.25">
      <c r="A426" s="255"/>
      <c r="B426" s="9"/>
      <c r="C426" s="617" t="s">
        <v>56</v>
      </c>
      <c r="AC426" s="377"/>
    </row>
    <row r="427" spans="1:29" s="1" customFormat="1" x14ac:dyDescent="0.25">
      <c r="A427" s="255"/>
      <c r="B427" s="9"/>
      <c r="C427" s="617" t="s">
        <v>56</v>
      </c>
      <c r="AC427" s="377"/>
    </row>
    <row r="428" spans="1:29" s="1" customFormat="1" x14ac:dyDescent="0.25">
      <c r="A428" s="255"/>
      <c r="B428" s="9"/>
      <c r="C428" s="617" t="s">
        <v>56</v>
      </c>
      <c r="AC428" s="377"/>
    </row>
    <row r="429" spans="1:29" s="1" customFormat="1" x14ac:dyDescent="0.25">
      <c r="A429" s="255"/>
      <c r="B429" s="9"/>
      <c r="C429" s="617" t="s">
        <v>56</v>
      </c>
      <c r="AC429" s="377"/>
    </row>
    <row r="430" spans="1:29" s="1" customFormat="1" x14ac:dyDescent="0.25">
      <c r="A430" s="255"/>
      <c r="B430" s="9"/>
      <c r="C430" s="617" t="s">
        <v>56</v>
      </c>
      <c r="AC430" s="377"/>
    </row>
    <row r="431" spans="1:29" s="1" customFormat="1" x14ac:dyDescent="0.25">
      <c r="A431" s="255"/>
      <c r="B431" s="9"/>
      <c r="C431" s="617" t="s">
        <v>56</v>
      </c>
      <c r="AC431" s="377"/>
    </row>
    <row r="432" spans="1:29" s="1" customFormat="1" x14ac:dyDescent="0.25">
      <c r="A432" s="255"/>
      <c r="B432" s="9"/>
      <c r="C432" s="617" t="s">
        <v>56</v>
      </c>
      <c r="AC432" s="377"/>
    </row>
    <row r="433" spans="1:32" s="1" customFormat="1" x14ac:dyDescent="0.25">
      <c r="A433" s="255"/>
      <c r="B433" s="9"/>
      <c r="C433" s="617" t="s">
        <v>56</v>
      </c>
      <c r="AC433" s="377"/>
    </row>
    <row r="434" spans="1:32" s="327" customFormat="1" ht="27" customHeight="1" x14ac:dyDescent="0.25">
      <c r="D434" s="595" t="s">
        <v>35</v>
      </c>
      <c r="AC434" s="430"/>
      <c r="AF434" s="595" t="s">
        <v>215</v>
      </c>
    </row>
    <row r="435" spans="1:32" s="1" customFormat="1" ht="18" customHeight="1" x14ac:dyDescent="0.25">
      <c r="A435" s="255"/>
      <c r="B435" s="9" t="s">
        <v>56</v>
      </c>
      <c r="C435" s="617" t="s">
        <v>56</v>
      </c>
      <c r="AC435" s="377"/>
    </row>
    <row r="436" spans="1:32" s="1" customFormat="1" x14ac:dyDescent="0.25">
      <c r="A436" s="255"/>
      <c r="C436" s="617" t="s">
        <v>56</v>
      </c>
      <c r="AC436" s="377"/>
    </row>
    <row r="437" spans="1:32" s="1" customFormat="1" x14ac:dyDescent="0.25">
      <c r="A437" s="262"/>
      <c r="C437" s="617" t="s">
        <v>56</v>
      </c>
      <c r="AC437" s="377"/>
    </row>
    <row r="438" spans="1:32" s="1" customFormat="1" x14ac:dyDescent="0.25">
      <c r="A438" s="262"/>
      <c r="C438" s="617" t="s">
        <v>56</v>
      </c>
      <c r="AC438" s="377"/>
    </row>
    <row r="439" spans="1:32" s="1" customFormat="1" x14ac:dyDescent="0.25">
      <c r="A439" s="262"/>
      <c r="C439" s="617" t="s">
        <v>56</v>
      </c>
      <c r="AC439" s="377"/>
    </row>
    <row r="440" spans="1:32" s="1" customFormat="1" x14ac:dyDescent="0.25">
      <c r="A440" s="262"/>
      <c r="C440" s="617" t="s">
        <v>56</v>
      </c>
      <c r="AC440" s="377"/>
    </row>
    <row r="441" spans="1:32" s="1" customFormat="1" x14ac:dyDescent="0.25">
      <c r="A441" s="262"/>
      <c r="C441" s="617" t="s">
        <v>56</v>
      </c>
      <c r="AC441" s="377"/>
    </row>
    <row r="442" spans="1:32" s="1" customFormat="1" x14ac:dyDescent="0.25">
      <c r="A442" s="262"/>
      <c r="C442" s="617" t="s">
        <v>56</v>
      </c>
      <c r="AC442" s="377"/>
    </row>
    <row r="443" spans="1:32" s="1" customFormat="1" x14ac:dyDescent="0.25">
      <c r="A443" s="262"/>
      <c r="C443" s="617" t="s">
        <v>56</v>
      </c>
      <c r="AC443" s="377"/>
    </row>
    <row r="444" spans="1:32" s="1" customFormat="1" x14ac:dyDescent="0.25">
      <c r="A444" s="262"/>
      <c r="C444" s="617" t="s">
        <v>56</v>
      </c>
      <c r="AC444" s="377"/>
    </row>
    <row r="445" spans="1:32" s="1" customFormat="1" ht="15" customHeight="1" x14ac:dyDescent="0.25">
      <c r="A445" s="262"/>
      <c r="C445" s="617" t="s">
        <v>56</v>
      </c>
      <c r="AC445" s="377"/>
    </row>
    <row r="446" spans="1:32" s="1" customFormat="1" ht="15" customHeight="1" x14ac:dyDescent="0.25">
      <c r="A446" s="262"/>
      <c r="C446" s="617" t="s">
        <v>56</v>
      </c>
      <c r="AC446" s="377"/>
    </row>
    <row r="447" spans="1:32" s="1" customFormat="1" ht="15" customHeight="1" x14ac:dyDescent="0.25">
      <c r="A447" s="262"/>
      <c r="C447" s="617" t="s">
        <v>56</v>
      </c>
      <c r="AC447" s="377"/>
    </row>
    <row r="448" spans="1:32" s="1" customFormat="1" x14ac:dyDescent="0.25">
      <c r="A448" s="262"/>
      <c r="C448" s="617" t="s">
        <v>56</v>
      </c>
      <c r="AC448" s="377"/>
    </row>
    <row r="449" spans="1:54" s="1" customFormat="1" x14ac:dyDescent="0.25">
      <c r="A449" s="262"/>
      <c r="C449" s="617" t="s">
        <v>56</v>
      </c>
      <c r="AC449" s="377"/>
    </row>
    <row r="450" spans="1:54" s="1" customFormat="1" x14ac:dyDescent="0.25">
      <c r="A450" s="262"/>
      <c r="C450" s="617" t="s">
        <v>56</v>
      </c>
      <c r="AC450" s="377"/>
    </row>
    <row r="451" spans="1:54" s="1" customFormat="1" x14ac:dyDescent="0.25">
      <c r="A451" s="262"/>
      <c r="C451" s="617" t="s">
        <v>56</v>
      </c>
      <c r="AC451" s="377"/>
    </row>
    <row r="452" spans="1:54" s="1" customFormat="1" x14ac:dyDescent="0.25">
      <c r="A452" s="262"/>
      <c r="C452" s="617" t="s">
        <v>56</v>
      </c>
      <c r="AC452" s="377"/>
    </row>
    <row r="453" spans="1:54" s="1" customFormat="1" x14ac:dyDescent="0.25">
      <c r="A453" s="262"/>
      <c r="C453" s="617" t="s">
        <v>56</v>
      </c>
      <c r="AC453" s="377"/>
    </row>
    <row r="454" spans="1:54" s="1" customFormat="1" x14ac:dyDescent="0.25">
      <c r="A454" s="262"/>
      <c r="C454" s="617" t="s">
        <v>56</v>
      </c>
      <c r="AC454" s="377"/>
    </row>
    <row r="455" spans="1:54" s="1" customFormat="1" x14ac:dyDescent="0.25">
      <c r="A455" s="262"/>
      <c r="C455" s="617" t="s">
        <v>56</v>
      </c>
      <c r="AC455" s="377"/>
    </row>
    <row r="456" spans="1:54" s="1" customFormat="1" x14ac:dyDescent="0.25">
      <c r="A456" s="262"/>
      <c r="C456" s="617" t="s">
        <v>56</v>
      </c>
      <c r="AC456" s="377"/>
    </row>
    <row r="457" spans="1:54" s="1" customFormat="1" x14ac:dyDescent="0.25">
      <c r="A457" s="262"/>
      <c r="C457" s="617" t="s">
        <v>56</v>
      </c>
      <c r="AC457" s="377"/>
    </row>
    <row r="458" spans="1:54" s="1" customFormat="1" x14ac:dyDescent="0.25">
      <c r="A458" s="262"/>
      <c r="C458" s="617" t="s">
        <v>56</v>
      </c>
      <c r="AC458" s="377"/>
    </row>
    <row r="459" spans="1:54" s="1" customFormat="1" x14ac:dyDescent="0.25">
      <c r="A459" s="262"/>
      <c r="C459" s="617" t="s">
        <v>56</v>
      </c>
      <c r="AC459" s="377"/>
    </row>
    <row r="460" spans="1:54" s="1" customFormat="1" x14ac:dyDescent="0.25">
      <c r="A460" s="262"/>
      <c r="C460" s="617" t="s">
        <v>56</v>
      </c>
      <c r="AC460" s="377"/>
    </row>
    <row r="461" spans="1:54" s="1" customFormat="1" x14ac:dyDescent="0.25">
      <c r="A461" s="262"/>
      <c r="C461" s="617" t="s">
        <v>56</v>
      </c>
      <c r="AC461" s="377"/>
    </row>
    <row r="462" spans="1:54" s="1" customFormat="1" x14ac:dyDescent="0.25">
      <c r="A462" s="262"/>
      <c r="C462" s="617" t="s">
        <v>56</v>
      </c>
      <c r="AC462" s="377"/>
    </row>
    <row r="463" spans="1:54" s="1" customFormat="1" x14ac:dyDescent="0.25">
      <c r="A463" s="262"/>
      <c r="C463" s="617" t="s">
        <v>56</v>
      </c>
      <c r="AC463" s="377"/>
    </row>
    <row r="464" spans="1:54" s="328" customFormat="1" ht="84" customHeight="1" x14ac:dyDescent="0.25">
      <c r="D464" s="328" t="s">
        <v>283</v>
      </c>
      <c r="E464" s="329"/>
      <c r="AC464" s="432"/>
      <c r="AF464" s="328" t="s">
        <v>227</v>
      </c>
      <c r="AY464" s="329"/>
      <c r="AZ464" s="329"/>
      <c r="BA464" s="329"/>
      <c r="BB464" s="329"/>
    </row>
    <row r="465" spans="1:44" s="1" customFormat="1" x14ac:dyDescent="0.25">
      <c r="A465" s="262"/>
      <c r="C465" s="617" t="s">
        <v>56</v>
      </c>
      <c r="AC465" s="377"/>
    </row>
    <row r="466" spans="1:44" s="1" customFormat="1" ht="33" customHeight="1" x14ac:dyDescent="0.25">
      <c r="A466" s="262"/>
      <c r="C466" s="617" t="s">
        <v>56</v>
      </c>
      <c r="D466" s="762" t="str">
        <f>$D$182</f>
        <v>Losun árið 2023 í samanburði við losun fyrri ára</v>
      </c>
      <c r="E466" s="762"/>
      <c r="F466" s="762"/>
      <c r="G466" s="762"/>
      <c r="H466" s="762"/>
      <c r="I466" s="762"/>
      <c r="J466" s="762"/>
      <c r="K466" s="762"/>
      <c r="L466" s="762"/>
      <c r="M466" s="762"/>
      <c r="N466" s="762"/>
      <c r="O466" s="762"/>
      <c r="P466" s="762"/>
      <c r="AC466" s="377"/>
      <c r="AF466" s="762" t="str">
        <f>$AF$4</f>
        <v>Emissions in 2023 compared to emissions in previous years</v>
      </c>
      <c r="AG466" s="762"/>
      <c r="AH466" s="762"/>
      <c r="AI466" s="762"/>
      <c r="AJ466" s="762"/>
      <c r="AK466" s="762"/>
      <c r="AL466" s="762"/>
      <c r="AM466" s="762"/>
      <c r="AN466" s="762"/>
      <c r="AO466" s="762"/>
      <c r="AP466" s="762"/>
      <c r="AQ466" s="762"/>
      <c r="AR466" s="762"/>
    </row>
    <row r="467" spans="1:44" s="1" customFormat="1" ht="29.1" customHeight="1" x14ac:dyDescent="0.25">
      <c r="A467" s="262"/>
      <c r="C467" s="617" t="s">
        <v>56</v>
      </c>
      <c r="D467" s="445"/>
      <c r="E467" s="823" t="str">
        <f>"Losun "&amp;$B$2</f>
        <v>Losun 2023</v>
      </c>
      <c r="F467" s="824"/>
      <c r="G467" s="825"/>
      <c r="H467" s="823" t="str">
        <f>"Breyting frá "&amp;B3</f>
        <v>Breyting frá 2022</v>
      </c>
      <c r="I467" s="824"/>
      <c r="J467" s="825"/>
      <c r="K467" s="823" t="str">
        <f>"Breyting frá "&amp;$B$4</f>
        <v>Breyting frá 2005</v>
      </c>
      <c r="L467" s="824"/>
      <c r="M467" s="825"/>
      <c r="N467" s="823" t="str">
        <f>"Breyting frá "&amp;$B$5</f>
        <v>Breyting frá 1990</v>
      </c>
      <c r="O467" s="824"/>
      <c r="P467" s="824"/>
      <c r="AC467" s="377"/>
      <c r="AF467" s="445"/>
      <c r="AG467" s="763" t="str">
        <f>"Emissions in "&amp;$B$2</f>
        <v>Emissions in 2023</v>
      </c>
      <c r="AH467" s="764"/>
      <c r="AI467" s="765"/>
      <c r="AJ467" s="763" t="str">
        <f>"Change from "&amp;$B$3</f>
        <v>Change from 2022</v>
      </c>
      <c r="AK467" s="764"/>
      <c r="AL467" s="765"/>
      <c r="AM467" s="763" t="str">
        <f>"Change from "&amp;$B$4</f>
        <v>Change from 2005</v>
      </c>
      <c r="AN467" s="764"/>
      <c r="AO467" s="765"/>
      <c r="AP467" s="763" t="str">
        <f>"Change from "&amp;$B$5</f>
        <v>Change from 1990</v>
      </c>
      <c r="AQ467" s="764"/>
      <c r="AR467" s="764"/>
    </row>
    <row r="468" spans="1:44" s="1" customFormat="1" x14ac:dyDescent="0.25">
      <c r="A468" s="262"/>
      <c r="C468" s="617" t="s">
        <v>56</v>
      </c>
      <c r="D468" s="445"/>
      <c r="E468" s="727" t="s">
        <v>5</v>
      </c>
      <c r="F468" s="727"/>
      <c r="G468" s="447" t="s">
        <v>4</v>
      </c>
      <c r="H468" s="727" t="s">
        <v>5</v>
      </c>
      <c r="I468" s="727"/>
      <c r="J468" s="447" t="s">
        <v>4</v>
      </c>
      <c r="K468" s="727" t="s">
        <v>5</v>
      </c>
      <c r="L468" s="727"/>
      <c r="M468" s="447" t="s">
        <v>4</v>
      </c>
      <c r="N468" s="727" t="s">
        <v>5</v>
      </c>
      <c r="O468" s="727"/>
      <c r="P468" s="446" t="s">
        <v>4</v>
      </c>
      <c r="AC468" s="377"/>
      <c r="AF468" s="445"/>
      <c r="AG468" s="726" t="s">
        <v>204</v>
      </c>
      <c r="AH468" s="727"/>
      <c r="AI468" s="447" t="s">
        <v>4</v>
      </c>
      <c r="AJ468" s="726" t="s">
        <v>204</v>
      </c>
      <c r="AK468" s="727"/>
      <c r="AL468" s="447" t="s">
        <v>4</v>
      </c>
      <c r="AM468" s="726" t="s">
        <v>204</v>
      </c>
      <c r="AN468" s="727"/>
      <c r="AO468" s="447" t="s">
        <v>4</v>
      </c>
      <c r="AP468" s="726" t="s">
        <v>204</v>
      </c>
      <c r="AQ468" s="727"/>
      <c r="AR468" s="446" t="s">
        <v>4</v>
      </c>
    </row>
    <row r="469" spans="1:44" s="1" customFormat="1" ht="21" customHeight="1" x14ac:dyDescent="0.25">
      <c r="A469" s="216" t="s">
        <v>88</v>
      </c>
      <c r="C469" s="617" t="s">
        <v>56</v>
      </c>
      <c r="D469" s="237" t="str">
        <f>'Talnagögn | Numerical Data'!$D$93</f>
        <v>Skógar</v>
      </c>
      <c r="E469" s="728" cm="1">
        <f t="array" ref="E469">INDEX('Talnagögn | Numerical Data'!$1:$1048576,_xlfn.XMATCH($A469,'Talnagögn | Numerical Data'!$A:$A),_xlfn.XMATCH($B$2,'Talnagögn | Numerical Data'!$91:$91))</f>
        <v>-553.69612674802886</v>
      </c>
      <c r="F469" s="728"/>
      <c r="G469" s="52">
        <f>$E469/$E$474</f>
        <v>-6.8845096594576161E-2</v>
      </c>
      <c r="H469" s="738" cm="1">
        <f t="array" ref="H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Data'!$A:$A),_xlfn.XMATCH($B$3,'Talnagögn | Numerical Data'!$91:$91))</f>
        <v>-19.717159439565989</v>
      </c>
      <c r="I469" s="738"/>
      <c r="J469" s="52" cm="1">
        <f t="array" ref="J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Data'!$A:$A),_xlfn.XMATCH($B$3,'Talnagögn | Numerical Data'!$91:$91))-1</f>
        <v>3.6924973916015791E-2</v>
      </c>
      <c r="K469" s="721" cm="1">
        <f t="array" ref="K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Data'!$A:$A),_xlfn.XMATCH($B$4,'Talnagögn | Numerical Data'!$91:$91))</f>
        <v>-413.41408579527968</v>
      </c>
      <c r="L469" s="721"/>
      <c r="M469" s="44" cm="1">
        <f t="array" ref="M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Data'!$A:$A),_xlfn.XMATCH($B$4,'Talnagögn | Numerical Data'!$91:$91))-1</f>
        <v>2.9470207518190352</v>
      </c>
      <c r="N469" s="721" cm="1">
        <f t="array" ref="N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Data'!$A:$A),_xlfn.XMATCH($B$5,'Talnagögn | Numerical Data'!$91:$91))</f>
        <v>-524.11880502282122</v>
      </c>
      <c r="O469" s="721"/>
      <c r="P469" s="8" cm="1">
        <f t="array" ref="P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Data'!$A:$A),_xlfn.XMATCH($B$5,'Talnagögn | Numerical Data'!$91:$91))-1</f>
        <v>17.720292928894072</v>
      </c>
      <c r="Q469" s="818"/>
      <c r="R469" s="818"/>
      <c r="S469" s="8"/>
      <c r="T469" s="818"/>
      <c r="U469" s="818"/>
      <c r="V469" s="8"/>
      <c r="W469" s="818"/>
      <c r="X469" s="818"/>
      <c r="Y469" s="8"/>
      <c r="Z469" s="818"/>
      <c r="AA469" s="818"/>
      <c r="AC469" s="377"/>
      <c r="AF469" s="237" t="str">
        <f>'Talnagögn | Numerical Data'!$E$93</f>
        <v>Forest Land</v>
      </c>
      <c r="AG469" s="728" cm="1">
        <f t="array" ref="AG469">INDEX('Talnagögn | Numerical Data'!$1:$1048576,_xlfn.XMATCH($A469,'Talnagögn | Numerical Data'!$A:$A),_xlfn.XMATCH($B$2,'Talnagögn | Numerical Data'!$91:$91))</f>
        <v>-553.69612674802886</v>
      </c>
      <c r="AH469" s="728"/>
      <c r="AI469" s="52">
        <f>$E469/$E$474</f>
        <v>-6.8845096594576161E-2</v>
      </c>
      <c r="AJ469" s="738" cm="1">
        <f t="array" ref="AJ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Data'!$A:$A),_xlfn.XMATCH($B$3,'Talnagögn | Numerical Data'!$91:$91))</f>
        <v>-19.717159439565989</v>
      </c>
      <c r="AK469" s="738"/>
      <c r="AL469" s="52" cm="1">
        <f t="array" ref="AL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Data'!$A:$A),_xlfn.XMATCH($B$3,'Talnagögn | Numerical Data'!$91:$91))-1</f>
        <v>3.6924973916015791E-2</v>
      </c>
      <c r="AM469" s="721" cm="1">
        <f t="array" ref="AM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Data'!$A:$A),_xlfn.XMATCH($B$4,'Talnagögn | Numerical Data'!$91:$91))</f>
        <v>-413.41408579527968</v>
      </c>
      <c r="AN469" s="721"/>
      <c r="AO469" s="44" cm="1">
        <f t="array" ref="AO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Data'!$A:$A),_xlfn.XMATCH($B$4,'Talnagögn | Numerical Data'!$91:$91))-1</f>
        <v>2.9470207518190352</v>
      </c>
      <c r="AP469" s="721" cm="1">
        <f t="array" ref="AP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Data'!$A:$A),_xlfn.XMATCH($B$5,'Talnagögn | Numerical Data'!$91:$91))</f>
        <v>-524.11880502282122</v>
      </c>
      <c r="AQ469" s="721"/>
      <c r="AR469" s="8" cm="1">
        <f t="array" ref="AR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Data'!$A:$A),_xlfn.XMATCH($B$5,'Talnagögn | Numerical Data'!$91:$91))-1</f>
        <v>17.720292928894072</v>
      </c>
    </row>
    <row r="470" spans="1:44" s="1" customFormat="1" ht="21" customHeight="1" x14ac:dyDescent="0.25">
      <c r="A470" s="216" t="s">
        <v>89</v>
      </c>
      <c r="C470" s="617" t="s">
        <v>56</v>
      </c>
      <c r="D470" s="237" t="str">
        <f>'Talnagögn | Numerical Data'!$D$94</f>
        <v>Ræktað land</v>
      </c>
      <c r="E470" s="729" cm="1">
        <f t="array" ref="E470">INDEX('Talnagögn | Numerical Data'!$1:$1048576,_xlfn.XMATCH($A470,'Talnagögn | Numerical Data'!$A:$A),_xlfn.XMATCH($B$2,'Talnagögn | Numerical Data'!$91:$91))</f>
        <v>1935.5468363725449</v>
      </c>
      <c r="F470" s="721"/>
      <c r="G470" s="44">
        <f>$E470/$E$474</f>
        <v>0.24066072070255554</v>
      </c>
      <c r="H470" s="729" cm="1">
        <f t="array" ref="H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Data'!$A:$A),_xlfn.XMATCH($B$3,'Talnagögn | Numerical Data'!$91:$91))</f>
        <v>19.697988526817198</v>
      </c>
      <c r="I470" s="721"/>
      <c r="J470" s="52" cm="1">
        <f t="array" ref="J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Data'!$A:$A),_xlfn.XMATCH($B$3,'Talnagögn | Numerical Data'!$91:$91))-1</f>
        <v>1.02815984407989E-2</v>
      </c>
      <c r="K470" s="729" cm="1">
        <f t="array" ref="K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Data'!$A:$A),_xlfn.XMATCH($B$4,'Talnagögn | Numerical Data'!$91:$91))</f>
        <v>364.10146858054554</v>
      </c>
      <c r="L470" s="721"/>
      <c r="M470" s="44" cm="1">
        <f t="array" ref="M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Data'!$A:$A),_xlfn.XMATCH($B$4,'Talnagögn | Numerical Data'!$91:$91))-1</f>
        <v>0.23169845802029743</v>
      </c>
      <c r="N470" s="729" cm="1">
        <f t="array" ref="N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Data'!$A:$A),_xlfn.XMATCH($B$5,'Talnagögn | Numerical Data'!$91:$91))</f>
        <v>397.73128235026979</v>
      </c>
      <c r="O470" s="721"/>
      <c r="P470" s="8" cm="1">
        <f t="array" ref="P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Data'!$A:$A),_xlfn.XMATCH($B$5,'Talnagögn | Numerical Data'!$91:$91))-1</f>
        <v>0.25863393129948054</v>
      </c>
      <c r="Q470" s="818"/>
      <c r="R470" s="818"/>
      <c r="S470" s="8"/>
      <c r="U470" s="217"/>
      <c r="W470" s="818"/>
      <c r="X470" s="818"/>
      <c r="Y470" s="8"/>
      <c r="Z470" s="818"/>
      <c r="AA470" s="818"/>
      <c r="AC470" s="377"/>
      <c r="AF470" s="237" t="str">
        <f>'Talnagögn | Numerical Data'!$E$94</f>
        <v>Cropland</v>
      </c>
      <c r="AG470" s="729" cm="1">
        <f t="array" ref="AG470">INDEX('Talnagögn | Numerical Data'!$1:$1048576,_xlfn.XMATCH($A470,'Talnagögn | Numerical Data'!$A:$A),_xlfn.XMATCH($B$2,'Talnagögn | Numerical Data'!$91:$91))</f>
        <v>1935.5468363725449</v>
      </c>
      <c r="AH470" s="721"/>
      <c r="AI470" s="44">
        <f>$E470/$E$474</f>
        <v>0.24066072070255554</v>
      </c>
      <c r="AJ470" s="729" cm="1">
        <f t="array" ref="AJ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Data'!$A:$A),_xlfn.XMATCH($B$3,'Talnagögn | Numerical Data'!$91:$91))</f>
        <v>19.697988526817198</v>
      </c>
      <c r="AK470" s="721"/>
      <c r="AL470" s="52" cm="1">
        <f t="array" ref="AL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Data'!$A:$A),_xlfn.XMATCH($B$3,'Talnagögn | Numerical Data'!$91:$91))-1</f>
        <v>1.02815984407989E-2</v>
      </c>
      <c r="AM470" s="729" cm="1">
        <f t="array" ref="AM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Data'!$A:$A),_xlfn.XMATCH($B$4,'Talnagögn | Numerical Data'!$91:$91))</f>
        <v>364.10146858054554</v>
      </c>
      <c r="AN470" s="721"/>
      <c r="AO470" s="44" cm="1">
        <f t="array" ref="AO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Data'!$A:$A),_xlfn.XMATCH($B$4,'Talnagögn | Numerical Data'!$91:$91))-1</f>
        <v>0.23169845802029743</v>
      </c>
      <c r="AP470" s="729" cm="1">
        <f t="array" ref="AP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Data'!$A:$A),_xlfn.XMATCH($B$5,'Talnagögn | Numerical Data'!$91:$91))</f>
        <v>397.73128235026979</v>
      </c>
      <c r="AQ470" s="721"/>
      <c r="AR470" s="8" cm="1">
        <f t="array" ref="AR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Data'!$A:$A),_xlfn.XMATCH($B$5,'Talnagögn | Numerical Data'!$91:$91))-1</f>
        <v>0.25863393129948054</v>
      </c>
    </row>
    <row r="471" spans="1:44" s="1" customFormat="1" ht="21" customHeight="1" x14ac:dyDescent="0.25">
      <c r="A471" s="216" t="s">
        <v>90</v>
      </c>
      <c r="C471" s="617" t="s">
        <v>56</v>
      </c>
      <c r="D471" s="237" t="str">
        <f>'Talnagögn | Numerical Data'!$D$95</f>
        <v>Mólendi</v>
      </c>
      <c r="E471" s="729" cm="1">
        <f t="array" ref="E471">INDEX('Talnagögn | Numerical Data'!$1:$1048576,_xlfn.XMATCH($A471,'Talnagögn | Numerical Data'!$A:$A),_xlfn.XMATCH($B$2,'Talnagögn | Numerical Data'!$91:$91))</f>
        <v>5915.6518862431958</v>
      </c>
      <c r="F471" s="721"/>
      <c r="G471" s="44">
        <f>$E471/$E$474</f>
        <v>0.73553634539624191</v>
      </c>
      <c r="H471" s="737" cm="1">
        <f t="array" ref="H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Data'!$A:$A),_xlfn.XMATCH($B$3,'Talnagögn | Numerical Data'!$91:$91))</f>
        <v>8.8149455416833007</v>
      </c>
      <c r="I471" s="738"/>
      <c r="J471" s="115" cm="1">
        <f t="array" ref="J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Data'!$A:$A),_xlfn.XMATCH($B$3,'Talnagögn | Numerical Data'!$91:$91))-1</f>
        <v>1.4923292500159668E-3</v>
      </c>
      <c r="K471" s="729" cm="1">
        <f t="array" ref="K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Data'!$A:$A),_xlfn.XMATCH($B$4,'Talnagögn | Numerical Data'!$91:$91))</f>
        <v>89.843776292706025</v>
      </c>
      <c r="L471" s="721"/>
      <c r="M471" s="52" cm="1">
        <f t="array" ref="M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Data'!$A:$A),_xlfn.XMATCH($B$4,'Talnagögn | Numerical Data'!$91:$91))-1</f>
        <v>1.542168478554129E-2</v>
      </c>
      <c r="N471" s="729" cm="1">
        <f t="array" ref="N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Data'!$A:$A),_xlfn.XMATCH($B$5,'Talnagögn | Numerical Data'!$91:$91))</f>
        <v>113.43868700663097</v>
      </c>
      <c r="O471" s="721"/>
      <c r="P471" s="42" cm="1">
        <f t="array" ref="P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Data'!$A:$A),_xlfn.XMATCH($B$5,'Talnagögn | Numerical Data'!$91:$91))-1</f>
        <v>1.9550933947335203E-2</v>
      </c>
      <c r="Q471" s="818"/>
      <c r="R471" s="818"/>
      <c r="S471" s="8"/>
      <c r="U471" s="217"/>
      <c r="W471" s="818"/>
      <c r="X471" s="818"/>
      <c r="Y471" s="8"/>
      <c r="Z471" s="818"/>
      <c r="AA471" s="818"/>
      <c r="AC471" s="377"/>
      <c r="AF471" s="237" t="str">
        <f>'Talnagögn | Numerical Data'!$E$95</f>
        <v>Grassland</v>
      </c>
      <c r="AG471" s="729" cm="1">
        <f t="array" ref="AG471">INDEX('Talnagögn | Numerical Data'!$1:$1048576,_xlfn.XMATCH($A471,'Talnagögn | Numerical Data'!$A:$A),_xlfn.XMATCH($B$2,'Talnagögn | Numerical Data'!$91:$91))</f>
        <v>5915.6518862431958</v>
      </c>
      <c r="AH471" s="721"/>
      <c r="AI471" s="44">
        <f>$E471/$E$474</f>
        <v>0.73553634539624191</v>
      </c>
      <c r="AJ471" s="737" cm="1">
        <f t="array" ref="AJ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Data'!$A:$A),_xlfn.XMATCH($B$3,'Talnagögn | Numerical Data'!$91:$91))</f>
        <v>8.8149455416833007</v>
      </c>
      <c r="AK471" s="738"/>
      <c r="AL471" s="115" cm="1">
        <f t="array" ref="AL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Data'!$A:$A),_xlfn.XMATCH($B$3,'Talnagögn | Numerical Data'!$91:$91))-1</f>
        <v>1.4923292500159668E-3</v>
      </c>
      <c r="AM471" s="729" cm="1">
        <f t="array" ref="AM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Data'!$A:$A),_xlfn.XMATCH($B$4,'Talnagögn | Numerical Data'!$91:$91))</f>
        <v>89.843776292706025</v>
      </c>
      <c r="AN471" s="721"/>
      <c r="AO471" s="52" cm="1">
        <f t="array" ref="AO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Data'!$A:$A),_xlfn.XMATCH($B$4,'Talnagögn | Numerical Data'!$91:$91))-1</f>
        <v>1.542168478554129E-2</v>
      </c>
      <c r="AP471" s="729" cm="1">
        <f t="array" ref="AP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Data'!$A:$A),_xlfn.XMATCH($B$5,'Talnagögn | Numerical Data'!$91:$91))</f>
        <v>113.43868700663097</v>
      </c>
      <c r="AQ471" s="721"/>
      <c r="AR471" s="42" cm="1">
        <f t="array" ref="AR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Data'!$A:$A),_xlfn.XMATCH($B$5,'Talnagögn | Numerical Data'!$91:$91))-1</f>
        <v>1.9550933947335203E-2</v>
      </c>
    </row>
    <row r="472" spans="1:44" s="1" customFormat="1" ht="21" customHeight="1" x14ac:dyDescent="0.25">
      <c r="A472" s="216" t="s">
        <v>91</v>
      </c>
      <c r="C472" s="617" t="s">
        <v>56</v>
      </c>
      <c r="D472" s="237" t="str">
        <f>'Talnagögn | Numerical Data'!$D$96</f>
        <v>Votlendi</v>
      </c>
      <c r="E472" s="729" cm="1">
        <f t="array" ref="E472">INDEX('Talnagögn | Numerical Data'!$1:$1048576,_xlfn.XMATCH($A472,'Talnagögn | Numerical Data'!$A:$A),_xlfn.XMATCH($B$2,'Talnagögn | Numerical Data'!$91:$91))</f>
        <v>698.9675492047254</v>
      </c>
      <c r="F472" s="721"/>
      <c r="G472" s="52">
        <f>$E472/$E$474</f>
        <v>8.6907757011223843E-2</v>
      </c>
      <c r="H472" s="737" cm="1">
        <f t="array" ref="H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Data'!$A:$A),_xlfn.XMATCH($B$3,'Talnagögn | Numerical Data'!$91:$91))</f>
        <v>-3.7081434718511446</v>
      </c>
      <c r="I472" s="738"/>
      <c r="J472" s="115" cm="1">
        <f t="array" ref="J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Data'!$A:$A),_xlfn.XMATCH($B$3,'Talnagögn | Numerical Data'!$91:$91))-1</f>
        <v>-5.2771762428929225E-3</v>
      </c>
      <c r="K472" s="729" cm="1">
        <f t="array" ref="K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Data'!$A:$A),_xlfn.XMATCH($B$4,'Talnagögn | Numerical Data'!$91:$91))</f>
        <v>-84.756553322798709</v>
      </c>
      <c r="L472" s="721"/>
      <c r="M472" s="44" cm="1">
        <f t="array" ref="M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Data'!$A:$A),_xlfn.XMATCH($B$4,'Talnagögn | Numerical Data'!$91:$91))-1</f>
        <v>-0.10814590625636922</v>
      </c>
      <c r="N472" s="729" cm="1">
        <f t="array" ref="N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Data'!$A:$A),_xlfn.XMATCH($B$5,'Talnagögn | Numerical Data'!$91:$91))</f>
        <v>-109.13414067292172</v>
      </c>
      <c r="O472" s="721"/>
      <c r="P472" s="8" cm="1">
        <f t="array" ref="P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Data'!$A:$A),_xlfn.XMATCH($B$5,'Talnagögn | Numerical Data'!$91:$91))-1</f>
        <v>-0.13505000922525667</v>
      </c>
      <c r="Q472" s="818"/>
      <c r="R472" s="818"/>
      <c r="S472" s="8"/>
      <c r="U472" s="217"/>
      <c r="W472" s="818"/>
      <c r="X472" s="818"/>
      <c r="Y472" s="8"/>
      <c r="Z472" s="818"/>
      <c r="AA472" s="818"/>
      <c r="AC472" s="377"/>
      <c r="AF472" s="237" t="str">
        <f>'Talnagögn | Numerical Data'!$E$96</f>
        <v>Wetlands</v>
      </c>
      <c r="AG472" s="729" cm="1">
        <f t="array" ref="AG472">INDEX('Talnagögn | Numerical Data'!$1:$1048576,_xlfn.XMATCH($A472,'Talnagögn | Numerical Data'!$A:$A),_xlfn.XMATCH($B$2,'Talnagögn | Numerical Data'!$91:$91))</f>
        <v>698.9675492047254</v>
      </c>
      <c r="AH472" s="721"/>
      <c r="AI472" s="52">
        <f>$E472/$E$474</f>
        <v>8.6907757011223843E-2</v>
      </c>
      <c r="AJ472" s="737" cm="1">
        <f t="array" ref="AJ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Data'!$A:$A),_xlfn.XMATCH($B$3,'Talnagögn | Numerical Data'!$91:$91))</f>
        <v>-3.7081434718511446</v>
      </c>
      <c r="AK472" s="738"/>
      <c r="AL472" s="115" cm="1">
        <f t="array" ref="AL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Data'!$A:$A),_xlfn.XMATCH($B$3,'Talnagögn | Numerical Data'!$91:$91))-1</f>
        <v>-5.2771762428929225E-3</v>
      </c>
      <c r="AM472" s="729" cm="1">
        <f t="array" ref="AM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Data'!$A:$A),_xlfn.XMATCH($B$4,'Talnagögn | Numerical Data'!$91:$91))</f>
        <v>-84.756553322798709</v>
      </c>
      <c r="AN472" s="721"/>
      <c r="AO472" s="44" cm="1">
        <f t="array" ref="AO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Data'!$A:$A),_xlfn.XMATCH($B$4,'Talnagögn | Numerical Data'!$91:$91))-1</f>
        <v>-0.10814590625636922</v>
      </c>
      <c r="AP472" s="729" cm="1">
        <f t="array" ref="AP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Data'!$A:$A),_xlfn.XMATCH($B$5,'Talnagögn | Numerical Data'!$91:$91))</f>
        <v>-109.13414067292172</v>
      </c>
      <c r="AQ472" s="721"/>
      <c r="AR472" s="8" cm="1">
        <f t="array" ref="AR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Data'!$A:$A),_xlfn.XMATCH($B$5,'Talnagögn | Numerical Data'!$91:$91))-1</f>
        <v>-0.13505000922525667</v>
      </c>
    </row>
    <row r="473" spans="1:44" s="1" customFormat="1" ht="21" customHeight="1" x14ac:dyDescent="0.25">
      <c r="A473" s="216" t="s">
        <v>117</v>
      </c>
      <c r="C473" s="617" t="s">
        <v>56</v>
      </c>
      <c r="D473" s="238" t="str">
        <f>'Talnagögn | Numerical Data'!$D$97</f>
        <v>Önnur losun</v>
      </c>
      <c r="E473" s="743" cm="1">
        <f t="array" ref="E473">INDEX('Talnagögn | Numerical Data'!$1:$1048576,_xlfn.XMATCH($A473,'Talnagögn | Numerical Data'!$A:$A),_xlfn.XMATCH($B$2,'Talnagögn | Numerical Data'!$91:$91))</f>
        <v>46.166936384584915</v>
      </c>
      <c r="F473" s="744"/>
      <c r="G473" s="132">
        <f>$E473/$E$474</f>
        <v>5.7402734845547953E-3</v>
      </c>
      <c r="H473" s="753" cm="1">
        <f t="array" ref="H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Data'!$A:$A),_xlfn.XMATCH($B$3,'Talnagögn | Numerical Data'!$91:$91))</f>
        <v>-6.0018748480733848</v>
      </c>
      <c r="I473" s="754"/>
      <c r="J473" s="101" cm="1">
        <f t="array" ref="J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Data'!$A:$A),_xlfn.XMATCH($B$3,'Talnagögn | Numerical Data'!$91:$91))-1</f>
        <v>-0.11504718444333917</v>
      </c>
      <c r="K473" s="753" cm="1">
        <f t="array" ref="K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Data'!$A:$A),_xlfn.XMATCH($B$4,'Talnagögn | Numerical Data'!$91:$91))</f>
        <v>-7.4530320827443575</v>
      </c>
      <c r="L473" s="754"/>
      <c r="M473" s="101" cm="1">
        <f t="array" ref="M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Data'!$A:$A),_xlfn.XMATCH($B$4,'Talnagögn | Numerical Data'!$91:$91))-1</f>
        <v>-0.13899732312012647</v>
      </c>
      <c r="N473" s="743" cm="1">
        <f t="array" ref="N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Data'!$A:$A),_xlfn.XMATCH($B$5,'Talnagögn | Numerical Data'!$91:$91))</f>
        <v>19.940205700206207</v>
      </c>
      <c r="O473" s="744"/>
      <c r="P473" s="99" cm="1">
        <f t="array" ref="P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Data'!$A:$A),_xlfn.XMATCH($B$5,'Talnagögn | Numerical Data'!$91:$91))-1</f>
        <v>0.76030085259856994</v>
      </c>
      <c r="Q473" s="8"/>
      <c r="R473" s="8"/>
      <c r="S473" s="8"/>
      <c r="U473" s="217"/>
      <c r="W473" s="8"/>
      <c r="X473" s="8"/>
      <c r="Y473" s="8"/>
      <c r="Z473" s="8"/>
      <c r="AA473" s="8"/>
      <c r="AC473" s="377"/>
      <c r="AF473" s="238" t="str">
        <f>'Talnagögn | Numerical Data'!$E$97</f>
        <v>Other Emissions</v>
      </c>
      <c r="AG473" s="743" cm="1">
        <f t="array" ref="AG473">INDEX('Talnagögn | Numerical Data'!$1:$1048576,_xlfn.XMATCH($A473,'Talnagögn | Numerical Data'!$A:$A),_xlfn.XMATCH($B$2,'Talnagögn | Numerical Data'!$91:$91))</f>
        <v>46.166936384584915</v>
      </c>
      <c r="AH473" s="744"/>
      <c r="AI473" s="132">
        <f>$E473/$E$474</f>
        <v>5.7402734845547953E-3</v>
      </c>
      <c r="AJ473" s="753" cm="1">
        <f t="array" ref="AJ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Data'!$A:$A),_xlfn.XMATCH($B$3,'Talnagögn | Numerical Data'!$91:$91))</f>
        <v>-6.0018748480733848</v>
      </c>
      <c r="AK473" s="754"/>
      <c r="AL473" s="101" cm="1">
        <f t="array" ref="AL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Data'!$A:$A),_xlfn.XMATCH($B$3,'Talnagögn | Numerical Data'!$91:$91))-1</f>
        <v>-0.11504718444333917</v>
      </c>
      <c r="AM473" s="753" cm="1">
        <f t="array" ref="AM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Data'!$A:$A),_xlfn.XMATCH($B$4,'Talnagögn | Numerical Data'!$91:$91))</f>
        <v>-7.4530320827443575</v>
      </c>
      <c r="AN473" s="754"/>
      <c r="AO473" s="101" cm="1">
        <f t="array" ref="AO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Data'!$A:$A),_xlfn.XMATCH($B$4,'Talnagögn | Numerical Data'!$91:$91))-1</f>
        <v>-0.13899732312012647</v>
      </c>
      <c r="AP473" s="743" cm="1">
        <f t="array" ref="AP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Data'!$A:$A),_xlfn.XMATCH($B$5,'Talnagögn | Numerical Data'!$91:$91))</f>
        <v>19.940205700206207</v>
      </c>
      <c r="AQ473" s="744"/>
      <c r="AR473" s="99" cm="1">
        <f t="array" ref="AR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Data'!$A:$A),_xlfn.XMATCH($B$5,'Talnagögn | Numerical Data'!$91:$91))-1</f>
        <v>0.76030085259856994</v>
      </c>
    </row>
    <row r="474" spans="1:44" ht="29.25" customHeight="1" x14ac:dyDescent="0.25">
      <c r="A474" s="216" t="s">
        <v>53</v>
      </c>
      <c r="B474" s="17"/>
      <c r="C474" s="617" t="s">
        <v>56</v>
      </c>
      <c r="D474" s="239" t="s">
        <v>13</v>
      </c>
      <c r="E474" s="710" cm="1">
        <f t="array" ref="E474">INDEX('Talnagögn | Numerical Data'!$1:$1048576,_xlfn.XMATCH($A474,'Talnagögn | Numerical Data'!$A:$A),_xlfn.XMATCH($B$2,'Talnagögn | Numerical Data'!$91:$91))</f>
        <v>8042.6370814570228</v>
      </c>
      <c r="F474" s="711"/>
      <c r="G474" s="47">
        <f>SUM(G469:G473)</f>
        <v>0.99999999999999989</v>
      </c>
      <c r="H474" s="760" cm="1">
        <f t="array" ref="H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Data'!$A:$A),_xlfn.XMATCH($B$3,'Talnagögn | Numerical Data'!$91:$91))</f>
        <v>-0.91424369098967873</v>
      </c>
      <c r="I474" s="761"/>
      <c r="J474" s="598" cm="1">
        <f t="array" ref="J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Data'!$A:$A),_xlfn.XMATCH($B$3,'Talnagögn | Numerical Data'!$91:$91))-1</f>
        <v>-1.1366169668503012E-4</v>
      </c>
      <c r="K474" s="710" cm="1">
        <f t="array" ref="K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Data'!$A:$A),_xlfn.XMATCH($B$4,'Talnagögn | Numerical Data'!$91:$91))</f>
        <v>-51.678426327570378</v>
      </c>
      <c r="L474" s="711"/>
      <c r="M474" s="133" cm="1">
        <f t="array" ref="M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Data'!$A:$A),_xlfn.XMATCH($B$4,'Talnagögn | Numerical Data'!$91:$91))-1</f>
        <v>-6.3845332292605805E-3</v>
      </c>
      <c r="N474" s="710" cm="1">
        <f t="array" ref="N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Data'!$A:$A),_xlfn.XMATCH($B$5,'Talnagögn | Numerical Data'!$91:$91))</f>
        <v>-102.14277063863574</v>
      </c>
      <c r="O474" s="711"/>
      <c r="P474" s="54" cm="1">
        <f t="array" ref="P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Data'!$A:$A),_xlfn.XMATCH($B$5,'Talnagögn | Numerical Data'!$91:$91))-1</f>
        <v>-1.2540887843930371E-2</v>
      </c>
      <c r="Q474" s="712"/>
      <c r="R474" s="712"/>
      <c r="S474" s="12"/>
      <c r="U474" s="217"/>
      <c r="W474" s="712"/>
      <c r="X474" s="712"/>
      <c r="Y474" s="12"/>
      <c r="Z474" s="712"/>
      <c r="AA474" s="712"/>
      <c r="AC474" s="383"/>
      <c r="AF474" s="239" t="s">
        <v>211</v>
      </c>
      <c r="AG474" s="710" cm="1">
        <f t="array" ref="AG474">INDEX('Talnagögn | Numerical Data'!$1:$1048576,_xlfn.XMATCH($A474,'Talnagögn | Numerical Data'!$A:$A),_xlfn.XMATCH($B$2,'Talnagögn | Numerical Data'!$91:$91))</f>
        <v>8042.6370814570228</v>
      </c>
      <c r="AH474" s="711"/>
      <c r="AI474" s="47">
        <f>SUM(AI469:AI473)</f>
        <v>0.99999999999999989</v>
      </c>
      <c r="AJ474" s="760" cm="1">
        <f t="array" ref="AJ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Data'!$A:$A),_xlfn.XMATCH($B$3,'Talnagögn | Numerical Data'!$91:$91))</f>
        <v>-0.91424369098967873</v>
      </c>
      <c r="AK474" s="761"/>
      <c r="AL474" s="598" cm="1">
        <f t="array" ref="AL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Data'!$A:$A),_xlfn.XMATCH($B$3,'Talnagögn | Numerical Data'!$91:$91))-1</f>
        <v>-1.1366169668503012E-4</v>
      </c>
      <c r="AM474" s="710" cm="1">
        <f t="array" ref="AM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Data'!$A:$A),_xlfn.XMATCH($B$4,'Talnagögn | Numerical Data'!$91:$91))</f>
        <v>-51.678426327570378</v>
      </c>
      <c r="AN474" s="711"/>
      <c r="AO474" s="133" cm="1">
        <f t="array" ref="AO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Data'!$A:$A),_xlfn.XMATCH($B$4,'Talnagögn | Numerical Data'!$91:$91))-1</f>
        <v>-6.3845332292605805E-3</v>
      </c>
      <c r="AP474" s="710" cm="1">
        <f t="array" ref="AP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Data'!$A:$A),_xlfn.XMATCH($B$5,'Talnagögn | Numerical Data'!$91:$91))</f>
        <v>-102.14277063863574</v>
      </c>
      <c r="AQ474" s="711"/>
      <c r="AR474" s="54" cm="1">
        <f t="array" ref="AR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Data'!$A:$A),_xlfn.XMATCH($B$5,'Talnagögn | Numerical Data'!$91:$91))-1</f>
        <v>-1.2540887843930371E-2</v>
      </c>
    </row>
    <row r="475" spans="1:44" s="1" customFormat="1" x14ac:dyDescent="0.25">
      <c r="A475" s="262"/>
      <c r="C475" s="617" t="s">
        <v>56</v>
      </c>
      <c r="AC475" s="377"/>
    </row>
    <row r="476" spans="1:44" s="1" customFormat="1" x14ac:dyDescent="0.25">
      <c r="A476" s="262"/>
      <c r="C476" s="617" t="s">
        <v>56</v>
      </c>
      <c r="AC476" s="377"/>
    </row>
    <row r="477" spans="1:44" s="1" customFormat="1" x14ac:dyDescent="0.25">
      <c r="A477" s="262"/>
      <c r="C477" s="617" t="s">
        <v>56</v>
      </c>
      <c r="AC477" s="377"/>
    </row>
    <row r="478" spans="1:44" s="1" customFormat="1" x14ac:dyDescent="0.25">
      <c r="A478" s="262"/>
      <c r="C478" s="617" t="s">
        <v>56</v>
      </c>
      <c r="AC478" s="377"/>
    </row>
    <row r="479" spans="1:44" s="1" customFormat="1" x14ac:dyDescent="0.25">
      <c r="A479" s="262"/>
      <c r="C479" s="617" t="s">
        <v>56</v>
      </c>
      <c r="AC479" s="377"/>
    </row>
    <row r="480" spans="1:44" s="1" customFormat="1" x14ac:dyDescent="0.25">
      <c r="A480" s="262"/>
      <c r="C480" s="617" t="s">
        <v>56</v>
      </c>
      <c r="AC480" s="377"/>
    </row>
    <row r="481" spans="1:29" s="1" customFormat="1" x14ac:dyDescent="0.25">
      <c r="A481" s="262"/>
      <c r="C481" s="617" t="s">
        <v>56</v>
      </c>
      <c r="AC481" s="377"/>
    </row>
    <row r="482" spans="1:29" s="1" customFormat="1" x14ac:dyDescent="0.25">
      <c r="A482" s="262"/>
      <c r="C482" s="617" t="s">
        <v>56</v>
      </c>
      <c r="AC482" s="377"/>
    </row>
    <row r="483" spans="1:29" s="1" customFormat="1" ht="15" customHeight="1" x14ac:dyDescent="0.25">
      <c r="A483" s="262"/>
      <c r="C483" s="617" t="s">
        <v>56</v>
      </c>
      <c r="AC483" s="377"/>
    </row>
    <row r="484" spans="1:29" s="1" customFormat="1" ht="15" customHeight="1" x14ac:dyDescent="0.25">
      <c r="A484" s="262"/>
      <c r="C484" s="617" t="s">
        <v>56</v>
      </c>
      <c r="AC484" s="377"/>
    </row>
    <row r="485" spans="1:29" s="1" customFormat="1" ht="15" customHeight="1" x14ac:dyDescent="0.25">
      <c r="A485" s="262"/>
      <c r="C485" s="617" t="s">
        <v>56</v>
      </c>
      <c r="AC485" s="377"/>
    </row>
    <row r="486" spans="1:29" s="1" customFormat="1" x14ac:dyDescent="0.25">
      <c r="A486" s="262"/>
      <c r="C486" s="617" t="s">
        <v>56</v>
      </c>
      <c r="AC486" s="377"/>
    </row>
    <row r="487" spans="1:29" s="1" customFormat="1" x14ac:dyDescent="0.25">
      <c r="A487" s="262"/>
      <c r="C487" s="617" t="s">
        <v>56</v>
      </c>
      <c r="AC487" s="377"/>
    </row>
    <row r="488" spans="1:29" s="1" customFormat="1" x14ac:dyDescent="0.25">
      <c r="A488" s="262"/>
      <c r="C488" s="617" t="s">
        <v>56</v>
      </c>
      <c r="AC488" s="377"/>
    </row>
    <row r="489" spans="1:29" s="1" customFormat="1" x14ac:dyDescent="0.25">
      <c r="A489" s="262"/>
      <c r="C489" s="617" t="s">
        <v>56</v>
      </c>
      <c r="AC489" s="377"/>
    </row>
    <row r="490" spans="1:29" s="1" customFormat="1" x14ac:dyDescent="0.25">
      <c r="A490" s="262"/>
      <c r="C490" s="617" t="s">
        <v>56</v>
      </c>
      <c r="AC490" s="377"/>
    </row>
    <row r="491" spans="1:29" s="1" customFormat="1" x14ac:dyDescent="0.25">
      <c r="A491" s="262"/>
      <c r="C491" s="617" t="s">
        <v>56</v>
      </c>
      <c r="AC491" s="377"/>
    </row>
    <row r="492" spans="1:29" s="1" customFormat="1" x14ac:dyDescent="0.25">
      <c r="A492" s="262"/>
      <c r="C492" s="617" t="s">
        <v>56</v>
      </c>
      <c r="AC492" s="377"/>
    </row>
    <row r="493" spans="1:29" s="1" customFormat="1" x14ac:dyDescent="0.25">
      <c r="A493" s="262"/>
      <c r="C493" s="617" t="s">
        <v>56</v>
      </c>
      <c r="AC493" s="377"/>
    </row>
    <row r="494" spans="1:29" s="1" customFormat="1" x14ac:dyDescent="0.25">
      <c r="A494" s="262"/>
      <c r="C494" s="617" t="s">
        <v>56</v>
      </c>
      <c r="AC494" s="377"/>
    </row>
    <row r="495" spans="1:29" s="1" customFormat="1" x14ac:dyDescent="0.25">
      <c r="A495" s="262"/>
      <c r="C495" s="617" t="s">
        <v>56</v>
      </c>
      <c r="AC495" s="377"/>
    </row>
    <row r="496" spans="1:29" s="1" customFormat="1" x14ac:dyDescent="0.25">
      <c r="A496" s="262"/>
      <c r="C496" s="617" t="s">
        <v>56</v>
      </c>
      <c r="AC496" s="377"/>
    </row>
    <row r="497" spans="1:32" s="1" customFormat="1" x14ac:dyDescent="0.25">
      <c r="A497" s="262"/>
      <c r="C497" s="617" t="s">
        <v>56</v>
      </c>
      <c r="AC497" s="377"/>
    </row>
    <row r="498" spans="1:32" s="1" customFormat="1" x14ac:dyDescent="0.25">
      <c r="A498" s="262"/>
      <c r="C498" s="617" t="s">
        <v>56</v>
      </c>
      <c r="AC498" s="377"/>
    </row>
    <row r="499" spans="1:32" s="1" customFormat="1" x14ac:dyDescent="0.25">
      <c r="A499" s="262"/>
      <c r="C499" s="617" t="s">
        <v>56</v>
      </c>
      <c r="AC499" s="377"/>
    </row>
    <row r="500" spans="1:32" s="1" customFormat="1" x14ac:dyDescent="0.25">
      <c r="A500" s="262"/>
      <c r="C500" s="617" t="s">
        <v>56</v>
      </c>
      <c r="AC500" s="377"/>
    </row>
    <row r="501" spans="1:32" s="32" customFormat="1" ht="27" customHeight="1" x14ac:dyDescent="0.25">
      <c r="D501" s="588" t="s">
        <v>35</v>
      </c>
      <c r="AC501" s="388"/>
      <c r="AF501" s="588" t="s">
        <v>215</v>
      </c>
    </row>
    <row r="502" spans="1:32" s="1" customFormat="1" x14ac:dyDescent="0.25">
      <c r="A502" s="262"/>
      <c r="C502" s="617" t="s">
        <v>56</v>
      </c>
      <c r="AC502" s="377"/>
    </row>
    <row r="503" spans="1:32" s="1" customFormat="1" x14ac:dyDescent="0.25">
      <c r="A503" s="262"/>
      <c r="C503" s="617" t="s">
        <v>56</v>
      </c>
      <c r="AC503" s="377"/>
    </row>
    <row r="504" spans="1:32" s="1" customFormat="1" x14ac:dyDescent="0.25">
      <c r="A504" s="262"/>
      <c r="C504" s="617" t="s">
        <v>56</v>
      </c>
      <c r="AC504" s="377"/>
    </row>
    <row r="505" spans="1:32" s="1" customFormat="1" x14ac:dyDescent="0.25">
      <c r="A505" s="262"/>
      <c r="C505" s="617" t="s">
        <v>56</v>
      </c>
      <c r="AC505" s="377"/>
    </row>
    <row r="506" spans="1:32" s="1" customFormat="1" x14ac:dyDescent="0.25">
      <c r="A506" s="262"/>
      <c r="C506" s="617" t="s">
        <v>56</v>
      </c>
      <c r="AC506" s="377"/>
    </row>
    <row r="507" spans="1:32" s="1" customFormat="1" x14ac:dyDescent="0.25">
      <c r="A507" s="262"/>
      <c r="C507" s="617" t="s">
        <v>56</v>
      </c>
      <c r="AC507" s="377"/>
    </row>
    <row r="508" spans="1:32" s="1" customFormat="1" x14ac:dyDescent="0.25">
      <c r="A508" s="262"/>
      <c r="C508" s="617" t="s">
        <v>56</v>
      </c>
      <c r="AC508" s="377"/>
    </row>
    <row r="509" spans="1:32" s="1" customFormat="1" ht="15" customHeight="1" x14ac:dyDescent="0.25">
      <c r="A509" s="262"/>
      <c r="C509" s="617" t="s">
        <v>56</v>
      </c>
      <c r="AC509" s="377"/>
    </row>
    <row r="510" spans="1:32" s="1" customFormat="1" ht="15" customHeight="1" x14ac:dyDescent="0.25">
      <c r="A510" s="262"/>
      <c r="C510" s="617" t="s">
        <v>56</v>
      </c>
      <c r="AC510" s="377"/>
    </row>
    <row r="511" spans="1:32" s="1" customFormat="1" ht="15" customHeight="1" x14ac:dyDescent="0.25">
      <c r="A511" s="262"/>
      <c r="C511" s="617" t="s">
        <v>56</v>
      </c>
      <c r="AC511" s="377"/>
    </row>
    <row r="512" spans="1:32" s="1" customFormat="1" x14ac:dyDescent="0.25">
      <c r="A512" s="262"/>
      <c r="C512" s="617" t="s">
        <v>56</v>
      </c>
      <c r="AC512" s="377"/>
    </row>
    <row r="513" spans="1:29" s="1" customFormat="1" x14ac:dyDescent="0.25">
      <c r="A513" s="262"/>
      <c r="C513" s="617" t="s">
        <v>56</v>
      </c>
      <c r="AC513" s="377"/>
    </row>
    <row r="514" spans="1:29" s="1" customFormat="1" x14ac:dyDescent="0.25">
      <c r="A514" s="262"/>
      <c r="C514" s="617" t="s">
        <v>56</v>
      </c>
      <c r="AC514" s="377"/>
    </row>
    <row r="515" spans="1:29" s="1" customFormat="1" x14ac:dyDescent="0.25">
      <c r="A515" s="262"/>
      <c r="C515" s="617" t="s">
        <v>56</v>
      </c>
      <c r="AC515" s="377"/>
    </row>
    <row r="516" spans="1:29" s="1" customFormat="1" x14ac:dyDescent="0.25">
      <c r="A516" s="262"/>
      <c r="C516" s="617" t="s">
        <v>56</v>
      </c>
      <c r="AC516" s="377"/>
    </row>
    <row r="517" spans="1:29" s="1" customFormat="1" x14ac:dyDescent="0.25">
      <c r="A517" s="262"/>
      <c r="C517" s="617" t="s">
        <v>56</v>
      </c>
      <c r="AC517" s="377"/>
    </row>
    <row r="518" spans="1:29" s="1" customFormat="1" x14ac:dyDescent="0.25">
      <c r="A518" s="262"/>
      <c r="C518" s="617" t="s">
        <v>56</v>
      </c>
      <c r="AC518" s="377"/>
    </row>
    <row r="519" spans="1:29" s="1" customFormat="1" x14ac:dyDescent="0.25">
      <c r="A519" s="262"/>
      <c r="C519" s="617" t="s">
        <v>56</v>
      </c>
      <c r="AC519" s="377"/>
    </row>
    <row r="520" spans="1:29" s="1" customFormat="1" x14ac:dyDescent="0.25">
      <c r="A520" s="262"/>
      <c r="C520" s="617" t="s">
        <v>56</v>
      </c>
      <c r="AC520" s="377"/>
    </row>
    <row r="521" spans="1:29" s="1" customFormat="1" x14ac:dyDescent="0.25">
      <c r="A521" s="262"/>
      <c r="C521" s="617" t="s">
        <v>56</v>
      </c>
      <c r="AC521" s="377"/>
    </row>
    <row r="522" spans="1:29" s="1" customFormat="1" x14ac:dyDescent="0.25">
      <c r="A522" s="262"/>
      <c r="C522" s="617" t="s">
        <v>56</v>
      </c>
      <c r="AC522" s="377"/>
    </row>
    <row r="523" spans="1:29" s="1" customFormat="1" x14ac:dyDescent="0.25">
      <c r="A523" s="262"/>
      <c r="C523" s="617" t="s">
        <v>56</v>
      </c>
      <c r="AC523" s="377"/>
    </row>
    <row r="524" spans="1:29" s="1" customFormat="1" x14ac:dyDescent="0.25">
      <c r="A524" s="262"/>
      <c r="C524" s="617" t="s">
        <v>56</v>
      </c>
      <c r="AC524" s="377"/>
    </row>
    <row r="525" spans="1:29" s="1" customFormat="1" x14ac:dyDescent="0.25">
      <c r="A525" s="262"/>
      <c r="C525" s="617" t="s">
        <v>56</v>
      </c>
      <c r="AC525" s="377"/>
    </row>
    <row r="526" spans="1:29" s="1" customFormat="1" x14ac:dyDescent="0.25">
      <c r="A526" s="262"/>
      <c r="C526" s="617" t="s">
        <v>56</v>
      </c>
      <c r="AC526" s="377"/>
    </row>
    <row r="527" spans="1:29" s="1" customFormat="1" x14ac:dyDescent="0.25">
      <c r="A527" s="262"/>
      <c r="C527" s="617" t="s">
        <v>56</v>
      </c>
      <c r="AC527" s="377"/>
    </row>
    <row r="528" spans="1:29" s="1" customFormat="1" x14ac:dyDescent="0.25">
      <c r="A528" s="262"/>
      <c r="C528" s="617" t="s">
        <v>56</v>
      </c>
      <c r="AC528" s="377"/>
    </row>
    <row r="529" spans="1:54" s="1" customFormat="1" x14ac:dyDescent="0.25">
      <c r="A529" s="262"/>
      <c r="C529" s="617" t="s">
        <v>56</v>
      </c>
      <c r="AC529" s="377"/>
    </row>
    <row r="530" spans="1:54" s="330" customFormat="1" ht="81.75" customHeight="1" x14ac:dyDescent="0.25">
      <c r="D530" s="330" t="s">
        <v>15</v>
      </c>
      <c r="E530" s="331"/>
      <c r="AC530" s="433"/>
      <c r="AF530" s="330" t="s">
        <v>246</v>
      </c>
      <c r="AY530" s="331"/>
      <c r="AZ530" s="331"/>
      <c r="BA530" s="331"/>
      <c r="BB530" s="331"/>
    </row>
    <row r="531" spans="1:54" s="1" customFormat="1" x14ac:dyDescent="0.25">
      <c r="A531" s="262"/>
      <c r="C531" s="617" t="s">
        <v>56</v>
      </c>
      <c r="AC531" s="377"/>
    </row>
    <row r="532" spans="1:54" s="1" customFormat="1" ht="30" customHeight="1" x14ac:dyDescent="0.25">
      <c r="A532" s="262"/>
      <c r="C532" s="617" t="s">
        <v>56</v>
      </c>
      <c r="D532" s="756" t="str">
        <f>$D$182</f>
        <v>Losun árið 2023 í samanburði við losun fyrri ára</v>
      </c>
      <c r="E532" s="756"/>
      <c r="F532" s="756"/>
      <c r="G532" s="756"/>
      <c r="H532" s="756"/>
      <c r="I532" s="756"/>
      <c r="J532" s="756"/>
      <c r="K532" s="756"/>
      <c r="L532" s="756"/>
      <c r="M532" s="756"/>
      <c r="N532" s="756"/>
      <c r="O532" s="756"/>
      <c r="P532" s="756"/>
      <c r="AC532" s="377"/>
      <c r="AF532" s="756" t="str">
        <f>$AF$4</f>
        <v>Emissions in 2023 compared to emissions in previous years</v>
      </c>
      <c r="AG532" s="756"/>
      <c r="AH532" s="756"/>
      <c r="AI532" s="756"/>
      <c r="AJ532" s="756"/>
      <c r="AK532" s="756"/>
      <c r="AL532" s="756"/>
      <c r="AM532" s="756"/>
      <c r="AN532" s="756"/>
      <c r="AO532" s="756"/>
      <c r="AP532" s="756"/>
      <c r="AQ532" s="756"/>
      <c r="AR532" s="756"/>
    </row>
    <row r="533" spans="1:54" s="1" customFormat="1" ht="29.1" customHeight="1" x14ac:dyDescent="0.25">
      <c r="A533" s="262"/>
      <c r="C533" s="617" t="s">
        <v>56</v>
      </c>
      <c r="D533" s="117"/>
      <c r="E533" s="820" t="str">
        <f>"Losun "&amp;$B$2</f>
        <v>Losun 2023</v>
      </c>
      <c r="F533" s="821"/>
      <c r="G533" s="822"/>
      <c r="H533" s="820" t="str">
        <f>"Breyting frá "&amp;$B$3</f>
        <v>Breyting frá 2022</v>
      </c>
      <c r="I533" s="821"/>
      <c r="J533" s="822"/>
      <c r="K533" s="820" t="str">
        <f>"Breyting frá "&amp;$B$4</f>
        <v>Breyting frá 2005</v>
      </c>
      <c r="L533" s="821"/>
      <c r="M533" s="822"/>
      <c r="N533" s="820" t="str">
        <f>"Breyting frá "&amp;$B$5</f>
        <v>Breyting frá 1990</v>
      </c>
      <c r="O533" s="821"/>
      <c r="P533" s="821"/>
      <c r="AC533" s="377"/>
      <c r="AF533" s="117"/>
      <c r="AG533" s="757" t="str">
        <f>"Emissions in "&amp;$B$2</f>
        <v>Emissions in 2023</v>
      </c>
      <c r="AH533" s="758"/>
      <c r="AI533" s="759"/>
      <c r="AJ533" s="757" t="str">
        <f>"Change from "&amp;$B$3</f>
        <v>Change from 2022</v>
      </c>
      <c r="AK533" s="758"/>
      <c r="AL533" s="759"/>
      <c r="AM533" s="757" t="str">
        <f>"Change from "&amp;$B$4</f>
        <v>Change from 2005</v>
      </c>
      <c r="AN533" s="758"/>
      <c r="AO533" s="759"/>
      <c r="AP533" s="757" t="str">
        <f>"Change from "&amp;$B$5</f>
        <v>Change from 1990</v>
      </c>
      <c r="AQ533" s="758"/>
      <c r="AR533" s="758"/>
    </row>
    <row r="534" spans="1:54" s="1" customFormat="1" x14ac:dyDescent="0.25">
      <c r="A534" s="262"/>
      <c r="C534" s="617" t="s">
        <v>56</v>
      </c>
      <c r="D534" s="117"/>
      <c r="E534" s="725" t="s">
        <v>5</v>
      </c>
      <c r="F534" s="725"/>
      <c r="G534" s="116" t="s">
        <v>4</v>
      </c>
      <c r="H534" s="725" t="s">
        <v>5</v>
      </c>
      <c r="I534" s="725"/>
      <c r="J534" s="116" t="s">
        <v>4</v>
      </c>
      <c r="K534" s="725" t="s">
        <v>5</v>
      </c>
      <c r="L534" s="725"/>
      <c r="M534" s="116" t="s">
        <v>4</v>
      </c>
      <c r="N534" s="725" t="s">
        <v>5</v>
      </c>
      <c r="O534" s="725"/>
      <c r="P534" s="39" t="s">
        <v>4</v>
      </c>
      <c r="AC534" s="377"/>
      <c r="AF534" s="117"/>
      <c r="AG534" s="724" t="s">
        <v>204</v>
      </c>
      <c r="AH534" s="725"/>
      <c r="AI534" s="116" t="s">
        <v>4</v>
      </c>
      <c r="AJ534" s="724" t="s">
        <v>204</v>
      </c>
      <c r="AK534" s="725"/>
      <c r="AL534" s="116" t="s">
        <v>4</v>
      </c>
      <c r="AM534" s="724" t="s">
        <v>204</v>
      </c>
      <c r="AN534" s="725"/>
      <c r="AO534" s="116" t="s">
        <v>4</v>
      </c>
      <c r="AP534" s="724" t="s">
        <v>204</v>
      </c>
      <c r="AQ534" s="725"/>
      <c r="AR534" s="39" t="s">
        <v>4</v>
      </c>
    </row>
    <row r="535" spans="1:54" s="1" customFormat="1" ht="21" customHeight="1" x14ac:dyDescent="0.25">
      <c r="A535" s="262" t="s">
        <v>84</v>
      </c>
      <c r="C535" s="617" t="s">
        <v>56</v>
      </c>
      <c r="D535" s="82" t="str">
        <f>'Talnagögn | Numerical Data'!$D$103</f>
        <v>Urðun úrgangs</v>
      </c>
      <c r="E535" s="755" cm="1">
        <f t="array" ref="E535">INDEX('Talnagögn | Numerical Data'!$1:$1048576,_xlfn.XMATCH($A535,'Talnagögn | Numerical Data'!$A:$A),_xlfn.XMATCH($B$2,'Talnagögn | Numerical Data'!$101:$101))</f>
        <v>201.26070771553427</v>
      </c>
      <c r="F535" s="755"/>
      <c r="G535" s="44">
        <f>$E$535/$E$539</f>
        <v>0.86313311448691954</v>
      </c>
      <c r="H535" s="721" cm="1">
        <f t="array" ref="H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Data'!$A:$A),_xlfn.XMATCH($B$3,'Talnagögn | Numerical Data'!$101:$101))</f>
        <v>-13.484370920345839</v>
      </c>
      <c r="I535" s="721"/>
      <c r="J535" s="52" cm="1">
        <f t="array" ref="J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Data'!$A:$A),_xlfn.XMATCH($B$3,'Talnagögn | Numerical Data'!$101:$101))-1</f>
        <v>-6.2792456087945148E-2</v>
      </c>
      <c r="K535" s="721" cm="1">
        <f t="array" ref="K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Data'!$A:$A),_xlfn.XMATCH($B$4,'Talnagögn | Numerical Data'!$101:$101))</f>
        <v>-82.620029317424695</v>
      </c>
      <c r="L535" s="721"/>
      <c r="M535" s="44" cm="1">
        <f t="array" ref="M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Data'!$A:$A),_xlfn.XMATCH($B$4,'Talnagögn | Numerical Data'!$101:$101))-1</f>
        <v>-0.29103781461520017</v>
      </c>
      <c r="N535" s="721" cm="1">
        <f t="array" ref="N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Data'!$A:$A),_xlfn.XMATCH($B$5,'Talnagögn | Numerical Data'!$101:$101))</f>
        <v>28.724646109802421</v>
      </c>
      <c r="O535" s="721"/>
      <c r="P535" s="8" cm="1">
        <f t="array" ref="P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Data'!$A:$A),_xlfn.XMATCH($B$5,'Talnagögn | Numerical Data'!$101:$101))-1</f>
        <v>0.16648488346420076</v>
      </c>
      <c r="Q535" s="818"/>
      <c r="R535" s="818"/>
      <c r="S535" s="8"/>
      <c r="T535" s="818"/>
      <c r="U535" s="818"/>
      <c r="V535" s="8"/>
      <c r="W535" s="818"/>
      <c r="X535" s="818"/>
      <c r="Y535" s="8"/>
      <c r="Z535" s="818"/>
      <c r="AA535" s="818"/>
      <c r="AC535" s="377"/>
      <c r="AF535" s="420" t="str">
        <f>'Talnagögn | Numerical Data'!$E$103</f>
        <v>Solid Waste Disposal on Land</v>
      </c>
      <c r="AG535" s="755" cm="1">
        <f t="array" ref="AG535">INDEX('Talnagögn | Numerical Data'!$1:$1048576,_xlfn.XMATCH($A535,'Talnagögn | Numerical Data'!$A:$A),_xlfn.XMATCH($B$2,'Talnagögn | Numerical Data'!$101:$101))</f>
        <v>201.26070771553427</v>
      </c>
      <c r="AH535" s="755"/>
      <c r="AI535" s="44">
        <f>$E$535/$E$539</f>
        <v>0.86313311448691954</v>
      </c>
      <c r="AJ535" s="721" cm="1">
        <f t="array" ref="AJ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Data'!$A:$A),_xlfn.XMATCH($B$3,'Talnagögn | Numerical Data'!$101:$101))</f>
        <v>-13.484370920345839</v>
      </c>
      <c r="AK535" s="721"/>
      <c r="AL535" s="52" cm="1">
        <f t="array" ref="AL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Data'!$A:$A),_xlfn.XMATCH($B$3,'Talnagögn | Numerical Data'!$101:$101))-1</f>
        <v>-6.2792456087945148E-2</v>
      </c>
      <c r="AM535" s="721" cm="1">
        <f t="array" ref="AM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Data'!$A:$A),_xlfn.XMATCH($B$4,'Talnagögn | Numerical Data'!$101:$101))</f>
        <v>-82.620029317424695</v>
      </c>
      <c r="AN535" s="721"/>
      <c r="AO535" s="44" cm="1">
        <f t="array" ref="AO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Data'!$A:$A),_xlfn.XMATCH($B$4,'Talnagögn | Numerical Data'!$101:$101))-1</f>
        <v>-0.29103781461520017</v>
      </c>
      <c r="AP535" s="721" cm="1">
        <f t="array" ref="AP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Data'!$A:$A),_xlfn.XMATCH($B$5,'Talnagögn | Numerical Data'!$101:$101))</f>
        <v>28.724646109802421</v>
      </c>
      <c r="AQ535" s="721"/>
      <c r="AR535" s="8" cm="1">
        <f t="array" ref="AR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Data'!$A:$A),_xlfn.XMATCH($B$5,'Talnagögn | Numerical Data'!$101:$101))-1</f>
        <v>0.16648488346420076</v>
      </c>
    </row>
    <row r="536" spans="1:54" s="1" customFormat="1" ht="21" customHeight="1" x14ac:dyDescent="0.25">
      <c r="A536" s="262" t="s">
        <v>85</v>
      </c>
      <c r="C536" s="617" t="s">
        <v>56</v>
      </c>
      <c r="D536" s="82" t="str">
        <f>'Talnagögn | Numerical Data'!$D$104</f>
        <v>Jarðgerð</v>
      </c>
      <c r="E536" s="722" cm="1">
        <f t="array" ref="E536">INDEX('Talnagögn | Numerical Data'!$1:$1048576,_xlfn.XMATCH($A536,'Talnagögn | Numerical Data'!$A:$A),_xlfn.XMATCH($B$2,'Talnagögn | Numerical Data'!$101:$101))</f>
        <v>3.0298550013473684</v>
      </c>
      <c r="F536" s="723"/>
      <c r="G536" s="52">
        <f>$E$536/$E$539</f>
        <v>1.2993933159834917E-2</v>
      </c>
      <c r="H536" s="751" cm="1">
        <f t="array" ref="H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Data'!$A:$A),_xlfn.XMATCH($B$3,'Talnagögn | Numerical Data'!$101:$101))</f>
        <v>0.35030657105263119</v>
      </c>
      <c r="I536" s="752"/>
      <c r="J536" s="44" cm="1">
        <f t="array" ref="J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Data'!$A:$A),_xlfn.XMATCH($B$3,'Talnagögn | Numerical Data'!$101:$101))-1</f>
        <v>0.13073343519083136</v>
      </c>
      <c r="K536" s="737" cm="1">
        <f t="array" ref="K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Data'!$A:$A),_xlfn.XMATCH($B$4,'Talnagögn | Numerical Data'!$101:$101))</f>
        <v>2.1518550013473683</v>
      </c>
      <c r="L536" s="738"/>
      <c r="M536" s="44" cm="1">
        <f t="array" ref="M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Data'!$A:$A),_xlfn.XMATCH($B$4,'Talnagögn | Numerical Data'!$101:$101))-1</f>
        <v>2.4508599104184152</v>
      </c>
      <c r="N536" s="737" cm="1">
        <f t="array" ref="N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Data'!$A:$A),_xlfn.XMATCH($B$5,'Talnagögn | Numerical Data'!$101:$101))</f>
        <v>3.0298550013473684</v>
      </c>
      <c r="O536" s="738"/>
      <c r="P536" s="241" t="str" cm="1">
        <f t="array" ref="P536">IFERROR(INDEX('Talnagögn | Numerical Data'!$1:$1048576,_xlfn.XMATCH($A536,'Talnagögn | Numerical Data'!$A:$A),_xlfn.XMATCH(#REF!,'Talnagögn | Numerical Data'!#REF!))/INDEX('Talnagögn | Numerical Data'!$1:$1048576,_xlfn.XMATCH($A536,'Talnagögn | Numerical Data'!$A:$A),_xlfn.XMATCH($B$534,'Talnagögn | Numerical Data'!#REF!))-1,"─")</f>
        <v>─</v>
      </c>
      <c r="Q536" s="818"/>
      <c r="R536" s="818"/>
      <c r="S536" s="8"/>
      <c r="T536" s="818"/>
      <c r="U536" s="818"/>
      <c r="V536" s="8"/>
      <c r="W536" s="818"/>
      <c r="X536" s="818"/>
      <c r="Y536" s="8"/>
      <c r="Z536" s="818"/>
      <c r="AA536" s="818"/>
      <c r="AC536" s="377"/>
      <c r="AF536" s="420" t="str">
        <f>'Talnagögn | Numerical Data'!$E$104</f>
        <v>Biological Treatment of Solid Waste</v>
      </c>
      <c r="AG536" s="722" cm="1">
        <f t="array" ref="AG536">INDEX('Talnagögn | Numerical Data'!$1:$1048576,_xlfn.XMATCH($A536,'Talnagögn | Numerical Data'!$A:$A),_xlfn.XMATCH($B$2,'Talnagögn | Numerical Data'!$101:$101))</f>
        <v>3.0298550013473684</v>
      </c>
      <c r="AH536" s="723"/>
      <c r="AI536" s="52">
        <f>$E$536/$E$539</f>
        <v>1.2993933159834917E-2</v>
      </c>
      <c r="AJ536" s="751" cm="1">
        <f t="array" ref="AJ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Data'!$A:$A),_xlfn.XMATCH($B$3,'Talnagögn | Numerical Data'!$101:$101))</f>
        <v>0.35030657105263119</v>
      </c>
      <c r="AK536" s="752"/>
      <c r="AL536" s="44" cm="1">
        <f t="array" ref="AL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Data'!$A:$A),_xlfn.XMATCH($B$3,'Talnagögn | Numerical Data'!$101:$101))-1</f>
        <v>0.13073343519083136</v>
      </c>
      <c r="AM536" s="737" cm="1">
        <f t="array" ref="AM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Data'!$A:$A),_xlfn.XMATCH($B$4,'Talnagögn | Numerical Data'!$101:$101))</f>
        <v>2.1518550013473683</v>
      </c>
      <c r="AN536" s="738"/>
      <c r="AO536" s="44" cm="1">
        <f t="array" ref="AO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Data'!$A:$A),_xlfn.XMATCH($B$4,'Talnagögn | Numerical Data'!$101:$101))-1</f>
        <v>2.4508599104184152</v>
      </c>
      <c r="AP536" s="737" cm="1">
        <f t="array" ref="AP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Data'!$A:$A),_xlfn.XMATCH($B$5,'Talnagögn | Numerical Data'!$101:$101))</f>
        <v>3.0298550013473684</v>
      </c>
      <c r="AQ536" s="738"/>
      <c r="AR536" s="241" t="str" cm="1">
        <f t="array" ref="AR536">IFERROR(INDEX('Talnagögn | Numerical Data'!$1:$1048576,_xlfn.XMATCH($A536,'Talnagögn | Numerical Data'!$A:$A),_xlfn.XMATCH(#REF!,'Talnagögn | Numerical Data'!#REF!))/INDEX('Talnagögn | Numerical Data'!$1:$1048576,_xlfn.XMATCH($A536,'Talnagögn | Numerical Data'!$A:$A),_xlfn.XMATCH($B$534,'Talnagögn | Numerical Data'!#REF!))-1,"─")</f>
        <v>─</v>
      </c>
    </row>
    <row r="537" spans="1:54" s="1" customFormat="1" ht="21" customHeight="1" x14ac:dyDescent="0.25">
      <c r="A537" s="262" t="s">
        <v>86</v>
      </c>
      <c r="C537" s="617" t="s">
        <v>56</v>
      </c>
      <c r="D537" s="82" t="str">
        <f>'Talnagögn | Numerical Data'!$D$105</f>
        <v>Brennsla og opinn bruni</v>
      </c>
      <c r="E537" s="722" cm="1">
        <f t="array" ref="E537">INDEX('Talnagögn | Numerical Data'!$1:$1048576,_xlfn.XMATCH($A537,'Talnagögn | Numerical Data'!$A:$A),_xlfn.XMATCH($B$2,'Talnagögn | Numerical Data'!$101:$101))</f>
        <v>6.8078014722938942</v>
      </c>
      <c r="F537" s="723"/>
      <c r="G537" s="52">
        <f>$E$537/$E$539</f>
        <v>2.9196155346402592E-2</v>
      </c>
      <c r="H537" s="751" cm="1">
        <f t="array" ref="H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Data'!$A:$A),_xlfn.XMATCH($B$3,'Talnagögn | Numerical Data'!$101:$101))</f>
        <v>-0.34123464985658636</v>
      </c>
      <c r="I537" s="752"/>
      <c r="J537" s="52" cm="1">
        <f t="array" ref="J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Data'!$A:$A),_xlfn.XMATCH($B$3,'Talnagögn | Numerical Data'!$101:$101))-1</f>
        <v>-4.7731560454605804E-2</v>
      </c>
      <c r="K537" s="737" cm="1">
        <f t="array" ref="K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Data'!$A:$A),_xlfn.XMATCH($B$4,'Talnagögn | Numerical Data'!$101:$101))</f>
        <v>1.2504669252699046</v>
      </c>
      <c r="L537" s="738"/>
      <c r="M537" s="44" cm="1">
        <f t="array" ref="M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Data'!$A:$A),_xlfn.XMATCH($B$4,'Talnagögn | Numerical Data'!$101:$101))-1</f>
        <v>0.22501199355355395</v>
      </c>
      <c r="N537" s="737" cm="1">
        <f t="array" ref="N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Data'!$A:$A),_xlfn.XMATCH($B$5,'Talnagögn | Numerical Data'!$101:$101))</f>
        <v>-8.792251492051621</v>
      </c>
      <c r="O537" s="738"/>
      <c r="P537" s="8" cm="1">
        <f t="array" ref="P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Data'!$A:$A),_xlfn.XMATCH($B$5,'Talnagögn | Numerical Data'!$101:$101))-1</f>
        <v>-0.56360395135494923</v>
      </c>
      <c r="Q537" s="818"/>
      <c r="R537" s="818"/>
      <c r="S537" s="8"/>
      <c r="T537" s="818"/>
      <c r="U537" s="818"/>
      <c r="V537" s="8"/>
      <c r="W537" s="818"/>
      <c r="X537" s="818"/>
      <c r="Y537" s="8"/>
      <c r="Z537" s="818"/>
      <c r="AA537" s="818"/>
      <c r="AC537" s="377"/>
      <c r="AF537" s="420" t="str">
        <f>'Talnagögn | Numerical Data'!$E$105</f>
        <v>Incineration and Open Burning</v>
      </c>
      <c r="AG537" s="722" cm="1">
        <f t="array" ref="AG537">INDEX('Talnagögn | Numerical Data'!$1:$1048576,_xlfn.XMATCH($A537,'Talnagögn | Numerical Data'!$A:$A),_xlfn.XMATCH($B$2,'Talnagögn | Numerical Data'!$101:$101))</f>
        <v>6.8078014722938942</v>
      </c>
      <c r="AH537" s="723"/>
      <c r="AI537" s="52">
        <f>$E$537/$E$539</f>
        <v>2.9196155346402592E-2</v>
      </c>
      <c r="AJ537" s="751" cm="1">
        <f t="array" ref="AJ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Data'!$A:$A),_xlfn.XMATCH($B$3,'Talnagögn | Numerical Data'!$101:$101))</f>
        <v>-0.34123464985658636</v>
      </c>
      <c r="AK537" s="752"/>
      <c r="AL537" s="52" cm="1">
        <f t="array" ref="AL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Data'!$A:$A),_xlfn.XMATCH($B$3,'Talnagögn | Numerical Data'!$101:$101))-1</f>
        <v>-4.7731560454605804E-2</v>
      </c>
      <c r="AM537" s="737" cm="1">
        <f t="array" ref="AM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Data'!$A:$A),_xlfn.XMATCH($B$4,'Talnagögn | Numerical Data'!$101:$101))</f>
        <v>1.2504669252699046</v>
      </c>
      <c r="AN537" s="738"/>
      <c r="AO537" s="44" cm="1">
        <f t="array" ref="AO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Data'!$A:$A),_xlfn.XMATCH($B$4,'Talnagögn | Numerical Data'!$101:$101))-1</f>
        <v>0.22501199355355395</v>
      </c>
      <c r="AP537" s="737" cm="1">
        <f t="array" ref="AP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Data'!$A:$A),_xlfn.XMATCH($B$5,'Talnagögn | Numerical Data'!$101:$101))</f>
        <v>-8.792251492051621</v>
      </c>
      <c r="AQ537" s="738"/>
      <c r="AR537" s="8" cm="1">
        <f t="array" ref="AR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Data'!$A:$A),_xlfn.XMATCH($B$5,'Talnagögn | Numerical Data'!$101:$101))-1</f>
        <v>-0.56360395135494923</v>
      </c>
    </row>
    <row r="538" spans="1:54" s="1" customFormat="1" ht="21" customHeight="1" x14ac:dyDescent="0.25">
      <c r="A538" s="262" t="s">
        <v>87</v>
      </c>
      <c r="C538" s="617" t="s">
        <v>56</v>
      </c>
      <c r="D538" s="540" t="str">
        <f>'Talnagögn | Numerical Data'!$D$106</f>
        <v>Meðhöndlun skólps</v>
      </c>
      <c r="E538" s="739" cm="1">
        <f t="array" ref="E538">INDEX('Talnagögn | Numerical Data'!$1:$1048576,_xlfn.XMATCH($A538,'Talnagögn | Numerical Data'!$A:$A),_xlfn.XMATCH($B$2,'Talnagögn | Numerical Data'!$101:$101))</f>
        <v>22.076223064578009</v>
      </c>
      <c r="F538" s="740"/>
      <c r="G538" s="105">
        <f>$E$538/$E$539</f>
        <v>9.4676797006842936E-2</v>
      </c>
      <c r="H538" s="741" cm="1">
        <f t="array" ref="H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Data'!$A:$A),_xlfn.XMATCH($B$3,'Talnagögn | Numerical Data'!$101:$101))</f>
        <v>0.1161405182497468</v>
      </c>
      <c r="I538" s="742"/>
      <c r="J538" s="132" cm="1">
        <f t="array" ref="J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Data'!$A:$A),_xlfn.XMATCH($B$3,'Talnagögn | Numerical Data'!$101:$101))-1</f>
        <v>5.2887104592949097E-3</v>
      </c>
      <c r="K538" s="753" cm="1">
        <f t="array" ref="K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Data'!$A:$A),_xlfn.XMATCH($B$4,'Talnagögn | Numerical Data'!$101:$101))</f>
        <v>2.9372082946314251</v>
      </c>
      <c r="L538" s="754"/>
      <c r="M538" s="101" cm="1">
        <f t="array" ref="M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Data'!$A:$A),_xlfn.XMATCH($B$4,'Talnagögn | Numerical Data'!$101:$101))-1</f>
        <v>0.15346705825441109</v>
      </c>
      <c r="N538" s="753" cm="1">
        <f t="array" ref="N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Data'!$A:$A),_xlfn.XMATCH($B$5,'Talnagögn | Numerical Data'!$101:$101))</f>
        <v>2.7312022854777815</v>
      </c>
      <c r="O538" s="754"/>
      <c r="P538" s="99" cm="1">
        <f t="array" ref="P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Data'!$A:$A),_xlfn.XMATCH($B$5,'Talnagögn | Numerical Data'!$101:$101))-1</f>
        <v>0.1411837349085967</v>
      </c>
      <c r="Q538" s="818"/>
      <c r="R538" s="818"/>
      <c r="S538" s="8"/>
      <c r="T538" s="818"/>
      <c r="U538" s="818"/>
      <c r="V538" s="8"/>
      <c r="W538" s="818"/>
      <c r="X538" s="818"/>
      <c r="Y538" s="8"/>
      <c r="Z538" s="818"/>
      <c r="AA538" s="818"/>
      <c r="AC538" s="377"/>
      <c r="AF538" s="541" t="str">
        <f>'Talnagögn | Numerical Data'!$E$106</f>
        <v>Wastewater Treatment and Discharge</v>
      </c>
      <c r="AG538" s="739" cm="1">
        <f t="array" ref="AG538">INDEX('Talnagögn | Numerical Data'!$1:$1048576,_xlfn.XMATCH($A538,'Talnagögn | Numerical Data'!$A:$A),_xlfn.XMATCH($B$2,'Talnagögn | Numerical Data'!$101:$101))</f>
        <v>22.076223064578009</v>
      </c>
      <c r="AH538" s="740"/>
      <c r="AI538" s="105">
        <f>$E$538/$E$539</f>
        <v>9.4676797006842936E-2</v>
      </c>
      <c r="AJ538" s="741" cm="1">
        <f t="array" ref="AJ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Data'!$A:$A),_xlfn.XMATCH($B$3,'Talnagögn | Numerical Data'!$101:$101))</f>
        <v>0.1161405182497468</v>
      </c>
      <c r="AK538" s="742"/>
      <c r="AL538" s="132" cm="1">
        <f t="array" ref="AL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Data'!$A:$A),_xlfn.XMATCH($B$3,'Talnagögn | Numerical Data'!$101:$101))-1</f>
        <v>5.2887104592949097E-3</v>
      </c>
      <c r="AM538" s="753" cm="1">
        <f t="array" ref="AM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Data'!$A:$A),_xlfn.XMATCH($B$4,'Talnagögn | Numerical Data'!$101:$101))</f>
        <v>2.9372082946314251</v>
      </c>
      <c r="AN538" s="754"/>
      <c r="AO538" s="101" cm="1">
        <f t="array" ref="AO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Data'!$A:$A),_xlfn.XMATCH($B$4,'Talnagögn | Numerical Data'!$101:$101))-1</f>
        <v>0.15346705825441109</v>
      </c>
      <c r="AP538" s="753" cm="1">
        <f t="array" ref="AP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Data'!$A:$A),_xlfn.XMATCH($B$5,'Talnagögn | Numerical Data'!$101:$101))</f>
        <v>2.7312022854777815</v>
      </c>
      <c r="AQ538" s="754"/>
      <c r="AR538" s="99" cm="1">
        <f t="array" ref="AR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Data'!$A:$A),_xlfn.XMATCH($B$5,'Talnagögn | Numerical Data'!$101:$101))-1</f>
        <v>0.1411837349085967</v>
      </c>
    </row>
    <row r="539" spans="1:54" ht="28.5" customHeight="1" x14ac:dyDescent="0.25">
      <c r="A539" s="262" t="s">
        <v>54</v>
      </c>
      <c r="B539" s="1"/>
      <c r="C539" s="617" t="s">
        <v>56</v>
      </c>
      <c r="D539" s="46" t="s">
        <v>13</v>
      </c>
      <c r="E539" s="710" cm="1">
        <f t="array" ref="E539">INDEX('Talnagögn | Numerical Data'!$1:$1048576,_xlfn.XMATCH($A539,'Talnagögn | Numerical Data'!$A:$A),_xlfn.XMATCH($B$2,'Talnagögn | Numerical Data'!$101:$101))</f>
        <v>233.17458725375354</v>
      </c>
      <c r="F539" s="711"/>
      <c r="G539" s="47">
        <f>SUM($G$535:$G$538)</f>
        <v>1</v>
      </c>
      <c r="H539" s="710" cm="1">
        <f t="array" ref="H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Data'!$A:$A),_xlfn.XMATCH($B$3,'Talnagögn | Numerical Data'!$101:$101))</f>
        <v>-13.359158480900049</v>
      </c>
      <c r="I539" s="711"/>
      <c r="J539" s="53" cm="1">
        <f t="array" ref="J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Data'!$A:$A),_xlfn.XMATCH($B$3,'Talnagögn | Numerical Data'!$101:$101))-1</f>
        <v>-5.4187950785766326E-2</v>
      </c>
      <c r="K539" s="710" cm="1">
        <f t="array" ref="K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Data'!$A:$A),_xlfn.XMATCH($B$4,'Talnagögn | Numerical Data'!$101:$101))</f>
        <v>-76.280499096175959</v>
      </c>
      <c r="L539" s="711"/>
      <c r="M539" s="47" cm="1">
        <f t="array" ref="M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Data'!$A:$A),_xlfn.XMATCH($B$4,'Talnagögn | Numerical Data'!$101:$101))-1</f>
        <v>-0.24649941933712005</v>
      </c>
      <c r="N539" s="710" cm="1">
        <f t="array" ref="N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Data'!$A:$A),_xlfn.XMATCH($B$5,'Talnagögn | Numerical Data'!$101:$101))</f>
        <v>25.693451904575966</v>
      </c>
      <c r="O539" s="711"/>
      <c r="P539" s="45" cm="1">
        <f t="array" ref="P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Data'!$A:$A),_xlfn.XMATCH($B$5,'Talnagögn | Numerical Data'!$101:$101))-1</f>
        <v>0.12383512294424026</v>
      </c>
      <c r="Q539" s="712"/>
      <c r="R539" s="712"/>
      <c r="S539" s="12"/>
      <c r="T539" s="712"/>
      <c r="U539" s="712"/>
      <c r="V539" s="12"/>
      <c r="W539" s="712"/>
      <c r="X539" s="712"/>
      <c r="Y539" s="12"/>
      <c r="Z539" s="712"/>
      <c r="AA539" s="712"/>
      <c r="AC539" s="383"/>
      <c r="AF539" s="46" t="s">
        <v>211</v>
      </c>
      <c r="AG539" s="710" cm="1">
        <f t="array" ref="AG539">INDEX('Talnagögn | Numerical Data'!$1:$1048576,_xlfn.XMATCH($A539,'Talnagögn | Numerical Data'!$A:$A),_xlfn.XMATCH($B$2,'Talnagögn | Numerical Data'!$101:$101))</f>
        <v>233.17458725375354</v>
      </c>
      <c r="AH539" s="711"/>
      <c r="AI539" s="47">
        <f>SUM($G$535:$G$538)</f>
        <v>1</v>
      </c>
      <c r="AJ539" s="710" cm="1">
        <f t="array" ref="AJ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Data'!$A:$A),_xlfn.XMATCH($B$3,'Talnagögn | Numerical Data'!$101:$101))</f>
        <v>-13.359158480900049</v>
      </c>
      <c r="AK539" s="711"/>
      <c r="AL539" s="53" cm="1">
        <f t="array" ref="AL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Data'!$A:$A),_xlfn.XMATCH($B$3,'Talnagögn | Numerical Data'!$101:$101))-1</f>
        <v>-5.4187950785766326E-2</v>
      </c>
      <c r="AM539" s="710" cm="1">
        <f t="array" ref="AM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Data'!$A:$A),_xlfn.XMATCH($B$4,'Talnagögn | Numerical Data'!$101:$101))</f>
        <v>-76.280499096175959</v>
      </c>
      <c r="AN539" s="711"/>
      <c r="AO539" s="47" cm="1">
        <f t="array" ref="AO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Data'!$A:$A),_xlfn.XMATCH($B$4,'Talnagögn | Numerical Data'!$101:$101))-1</f>
        <v>-0.24649941933712005</v>
      </c>
      <c r="AP539" s="710" cm="1">
        <f t="array" ref="AP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Data'!$A:$A),_xlfn.XMATCH($B$5,'Talnagögn | Numerical Data'!$101:$101))</f>
        <v>25.693451904575966</v>
      </c>
      <c r="AQ539" s="711"/>
      <c r="AR539" s="45" cm="1">
        <f t="array" ref="AR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Data'!$A:$A),_xlfn.XMATCH($B$5,'Talnagögn | Numerical Data'!$101:$101))-1</f>
        <v>0.12383512294424026</v>
      </c>
    </row>
    <row r="540" spans="1:54" s="1" customFormat="1" x14ac:dyDescent="0.25">
      <c r="A540" s="262"/>
      <c r="C540" s="617" t="s">
        <v>56</v>
      </c>
      <c r="AC540" s="377"/>
    </row>
    <row r="541" spans="1:54" s="1" customFormat="1" x14ac:dyDescent="0.25">
      <c r="A541" s="262"/>
      <c r="C541" s="617" t="s">
        <v>56</v>
      </c>
      <c r="AC541" s="377"/>
    </row>
    <row r="542" spans="1:54" s="1" customFormat="1" x14ac:dyDescent="0.25">
      <c r="A542" s="262"/>
      <c r="C542" s="617" t="s">
        <v>56</v>
      </c>
      <c r="AC542" s="377"/>
    </row>
    <row r="543" spans="1:54" s="1" customFormat="1" x14ac:dyDescent="0.25">
      <c r="A543" s="262"/>
      <c r="C543" s="617" t="s">
        <v>56</v>
      </c>
      <c r="AC543" s="377"/>
    </row>
    <row r="544" spans="1:54" s="1" customFormat="1" x14ac:dyDescent="0.25">
      <c r="A544" s="262"/>
      <c r="C544" s="617" t="s">
        <v>56</v>
      </c>
      <c r="AC544" s="377"/>
    </row>
    <row r="545" spans="1:29" s="1" customFormat="1" x14ac:dyDescent="0.25">
      <c r="A545" s="262"/>
      <c r="C545" s="617" t="s">
        <v>56</v>
      </c>
      <c r="AC545" s="377"/>
    </row>
    <row r="546" spans="1:29" s="1" customFormat="1" x14ac:dyDescent="0.25">
      <c r="A546" s="262"/>
      <c r="C546" s="617" t="s">
        <v>56</v>
      </c>
      <c r="AC546" s="377"/>
    </row>
    <row r="547" spans="1:29" s="1" customFormat="1" x14ac:dyDescent="0.25">
      <c r="A547" s="262"/>
      <c r="C547" s="617" t="s">
        <v>56</v>
      </c>
      <c r="AC547" s="377"/>
    </row>
    <row r="548" spans="1:29" s="1" customFormat="1" x14ac:dyDescent="0.25">
      <c r="A548" s="262"/>
      <c r="C548" s="617" t="s">
        <v>56</v>
      </c>
      <c r="AC548" s="377"/>
    </row>
    <row r="549" spans="1:29" s="1" customFormat="1" ht="15" customHeight="1" x14ac:dyDescent="0.25">
      <c r="A549" s="262"/>
      <c r="C549" s="617" t="s">
        <v>56</v>
      </c>
      <c r="AC549" s="377"/>
    </row>
    <row r="550" spans="1:29" s="1" customFormat="1" ht="15" customHeight="1" x14ac:dyDescent="0.25">
      <c r="A550" s="262"/>
      <c r="C550" s="617" t="s">
        <v>56</v>
      </c>
      <c r="AC550" s="377"/>
    </row>
    <row r="551" spans="1:29" s="1" customFormat="1" ht="15" customHeight="1" x14ac:dyDescent="0.25">
      <c r="A551" s="262"/>
      <c r="C551" s="617" t="s">
        <v>56</v>
      </c>
      <c r="AC551" s="377"/>
    </row>
    <row r="552" spans="1:29" s="1" customFormat="1" x14ac:dyDescent="0.25">
      <c r="A552" s="262"/>
      <c r="C552" s="617" t="s">
        <v>56</v>
      </c>
      <c r="AC552" s="377"/>
    </row>
    <row r="553" spans="1:29" s="1" customFormat="1" x14ac:dyDescent="0.25">
      <c r="A553" s="262"/>
      <c r="C553" s="617" t="s">
        <v>56</v>
      </c>
      <c r="AC553" s="377"/>
    </row>
    <row r="554" spans="1:29" s="1" customFormat="1" x14ac:dyDescent="0.25">
      <c r="A554" s="262"/>
      <c r="C554" s="617" t="s">
        <v>56</v>
      </c>
      <c r="AC554" s="377"/>
    </row>
    <row r="555" spans="1:29" s="1" customFormat="1" x14ac:dyDescent="0.25">
      <c r="A555" s="262"/>
      <c r="C555" s="617" t="s">
        <v>56</v>
      </c>
      <c r="AC555" s="377"/>
    </row>
    <row r="556" spans="1:29" s="1" customFormat="1" x14ac:dyDescent="0.25">
      <c r="A556" s="262"/>
      <c r="C556" s="617" t="s">
        <v>56</v>
      </c>
      <c r="AC556" s="377"/>
    </row>
    <row r="557" spans="1:29" s="1" customFormat="1" x14ac:dyDescent="0.25">
      <c r="A557" s="262"/>
      <c r="C557" s="617" t="s">
        <v>56</v>
      </c>
      <c r="AC557" s="377"/>
    </row>
    <row r="558" spans="1:29" s="1" customFormat="1" x14ac:dyDescent="0.25">
      <c r="A558" s="262"/>
      <c r="C558" s="617" t="s">
        <v>56</v>
      </c>
      <c r="AC558" s="377"/>
    </row>
    <row r="559" spans="1:29" s="1" customFormat="1" x14ac:dyDescent="0.25">
      <c r="A559" s="262"/>
      <c r="C559" s="617" t="s">
        <v>56</v>
      </c>
      <c r="AC559" s="377"/>
    </row>
    <row r="560" spans="1:29" s="1" customFormat="1" x14ac:dyDescent="0.25">
      <c r="A560" s="262"/>
      <c r="C560" s="617" t="s">
        <v>56</v>
      </c>
      <c r="AC560" s="377"/>
    </row>
    <row r="561" spans="1:32" s="1" customFormat="1" x14ac:dyDescent="0.25">
      <c r="A561" s="262"/>
      <c r="C561" s="617" t="s">
        <v>56</v>
      </c>
      <c r="AC561" s="377"/>
    </row>
    <row r="562" spans="1:32" s="1" customFormat="1" x14ac:dyDescent="0.25">
      <c r="A562" s="262"/>
      <c r="C562" s="617" t="s">
        <v>56</v>
      </c>
      <c r="AC562" s="377"/>
    </row>
    <row r="563" spans="1:32" s="1" customFormat="1" x14ac:dyDescent="0.25">
      <c r="A563" s="262"/>
      <c r="C563" s="617" t="s">
        <v>56</v>
      </c>
      <c r="AC563" s="377"/>
    </row>
    <row r="564" spans="1:32" s="1" customFormat="1" x14ac:dyDescent="0.25">
      <c r="A564" s="262"/>
      <c r="C564" s="617" t="s">
        <v>56</v>
      </c>
      <c r="AC564" s="377"/>
    </row>
    <row r="565" spans="1:32" s="1" customFormat="1" x14ac:dyDescent="0.25">
      <c r="A565" s="262"/>
      <c r="C565" s="617" t="s">
        <v>56</v>
      </c>
      <c r="AC565" s="377"/>
    </row>
    <row r="566" spans="1:32" s="1" customFormat="1" x14ac:dyDescent="0.25">
      <c r="A566" s="262"/>
      <c r="C566" s="617" t="s">
        <v>56</v>
      </c>
      <c r="AC566" s="377"/>
    </row>
    <row r="567" spans="1:32" s="1" customFormat="1" x14ac:dyDescent="0.25">
      <c r="A567" s="262"/>
      <c r="C567" s="617" t="s">
        <v>56</v>
      </c>
      <c r="AC567" s="377"/>
    </row>
    <row r="568" spans="1:32" s="33" customFormat="1" ht="27" customHeight="1" x14ac:dyDescent="0.25">
      <c r="D568" s="596" t="s">
        <v>35</v>
      </c>
      <c r="AC568" s="434"/>
      <c r="AF568" s="596" t="s">
        <v>215</v>
      </c>
    </row>
    <row r="569" spans="1:32" s="1" customFormat="1" ht="18" customHeight="1" x14ac:dyDescent="0.25">
      <c r="A569" s="262"/>
      <c r="C569" s="617" t="s">
        <v>56</v>
      </c>
      <c r="AC569" s="377"/>
    </row>
    <row r="570" spans="1:32" s="1" customFormat="1" x14ac:dyDescent="0.25">
      <c r="A570" s="262"/>
      <c r="C570" s="617" t="s">
        <v>56</v>
      </c>
      <c r="AC570" s="377"/>
    </row>
    <row r="571" spans="1:32" s="1" customFormat="1" x14ac:dyDescent="0.25">
      <c r="A571" s="262"/>
      <c r="C571" s="617" t="s">
        <v>56</v>
      </c>
      <c r="AC571" s="377"/>
    </row>
    <row r="572" spans="1:32" s="1" customFormat="1" x14ac:dyDescent="0.25">
      <c r="A572" s="262"/>
      <c r="C572" s="617" t="s">
        <v>56</v>
      </c>
      <c r="AC572" s="377"/>
    </row>
    <row r="573" spans="1:32" s="1" customFormat="1" x14ac:dyDescent="0.25">
      <c r="A573" s="262"/>
      <c r="C573" s="617" t="s">
        <v>56</v>
      </c>
      <c r="AC573" s="377"/>
    </row>
    <row r="574" spans="1:32" s="1" customFormat="1" x14ac:dyDescent="0.25">
      <c r="A574" s="262"/>
      <c r="C574" s="617" t="s">
        <v>56</v>
      </c>
      <c r="AC574" s="377"/>
    </row>
    <row r="575" spans="1:32" s="1" customFormat="1" x14ac:dyDescent="0.25">
      <c r="A575" s="262"/>
      <c r="C575" s="617" t="s">
        <v>56</v>
      </c>
      <c r="AC575" s="377"/>
    </row>
    <row r="576" spans="1:32" s="1" customFormat="1" x14ac:dyDescent="0.25">
      <c r="A576" s="262"/>
      <c r="C576" s="617" t="s">
        <v>56</v>
      </c>
      <c r="AC576" s="377"/>
    </row>
    <row r="577" spans="1:29" s="1" customFormat="1" x14ac:dyDescent="0.25">
      <c r="A577" s="262"/>
      <c r="C577" s="617" t="s">
        <v>56</v>
      </c>
      <c r="AC577" s="377"/>
    </row>
    <row r="578" spans="1:29" s="1" customFormat="1" x14ac:dyDescent="0.25">
      <c r="A578" s="262"/>
      <c r="C578" s="617" t="s">
        <v>56</v>
      </c>
      <c r="AC578" s="377"/>
    </row>
    <row r="579" spans="1:29" s="1" customFormat="1" ht="15" customHeight="1" x14ac:dyDescent="0.25">
      <c r="A579" s="262"/>
      <c r="C579" s="617" t="s">
        <v>56</v>
      </c>
      <c r="AC579" s="377"/>
    </row>
    <row r="580" spans="1:29" s="1" customFormat="1" ht="15" customHeight="1" x14ac:dyDescent="0.25">
      <c r="A580" s="262"/>
      <c r="C580" s="617" t="s">
        <v>56</v>
      </c>
      <c r="AC580" s="377"/>
    </row>
    <row r="581" spans="1:29" s="1" customFormat="1" ht="15" customHeight="1" x14ac:dyDescent="0.25">
      <c r="A581" s="262"/>
      <c r="C581" s="617" t="s">
        <v>56</v>
      </c>
      <c r="AC581" s="377"/>
    </row>
    <row r="582" spans="1:29" s="1" customFormat="1" x14ac:dyDescent="0.25">
      <c r="A582" s="262"/>
      <c r="C582" s="617" t="s">
        <v>56</v>
      </c>
      <c r="AC582" s="377"/>
    </row>
    <row r="583" spans="1:29" s="1" customFormat="1" x14ac:dyDescent="0.25">
      <c r="A583" s="262"/>
      <c r="C583" s="617" t="s">
        <v>56</v>
      </c>
      <c r="AC583" s="377"/>
    </row>
    <row r="584" spans="1:29" s="1" customFormat="1" x14ac:dyDescent="0.25">
      <c r="A584" s="262"/>
      <c r="C584" s="617" t="s">
        <v>56</v>
      </c>
      <c r="AC584" s="377"/>
    </row>
    <row r="585" spans="1:29" s="1" customFormat="1" x14ac:dyDescent="0.25">
      <c r="A585" s="262"/>
      <c r="C585" s="617" t="s">
        <v>56</v>
      </c>
      <c r="AC585" s="377"/>
    </row>
    <row r="586" spans="1:29" s="1" customFormat="1" x14ac:dyDescent="0.25">
      <c r="A586" s="262"/>
      <c r="C586" s="617" t="s">
        <v>56</v>
      </c>
      <c r="AC586" s="377"/>
    </row>
    <row r="587" spans="1:29" s="1" customFormat="1" x14ac:dyDescent="0.25">
      <c r="A587" s="262"/>
      <c r="C587" s="617" t="s">
        <v>56</v>
      </c>
      <c r="AC587" s="377"/>
    </row>
    <row r="588" spans="1:29" s="1" customFormat="1" x14ac:dyDescent="0.25">
      <c r="A588" s="262"/>
      <c r="C588" s="617" t="s">
        <v>56</v>
      </c>
      <c r="AC588" s="377"/>
    </row>
    <row r="589" spans="1:29" s="1" customFormat="1" x14ac:dyDescent="0.25">
      <c r="A589" s="262"/>
      <c r="C589" s="617" t="s">
        <v>56</v>
      </c>
      <c r="AC589" s="377"/>
    </row>
    <row r="590" spans="1:29" s="1" customFormat="1" x14ac:dyDescent="0.25">
      <c r="A590" s="262"/>
      <c r="C590" s="617" t="s">
        <v>56</v>
      </c>
      <c r="AC590" s="377"/>
    </row>
    <row r="591" spans="1:29" s="1" customFormat="1" x14ac:dyDescent="0.25">
      <c r="A591" s="262"/>
      <c r="C591" s="617" t="s">
        <v>56</v>
      </c>
      <c r="AC591" s="377"/>
    </row>
    <row r="592" spans="1:29" s="1" customFormat="1" x14ac:dyDescent="0.25">
      <c r="A592" s="262"/>
      <c r="C592" s="617" t="s">
        <v>56</v>
      </c>
      <c r="AC592" s="377"/>
    </row>
    <row r="593" spans="1:54" s="1" customFormat="1" x14ac:dyDescent="0.25">
      <c r="A593" s="262"/>
      <c r="C593" s="617" t="s">
        <v>56</v>
      </c>
      <c r="AC593" s="377"/>
    </row>
    <row r="594" spans="1:54" s="1" customFormat="1" x14ac:dyDescent="0.25">
      <c r="A594" s="262"/>
      <c r="C594" s="617" t="s">
        <v>56</v>
      </c>
      <c r="AC594" s="377"/>
    </row>
    <row r="595" spans="1:54" s="1" customFormat="1" x14ac:dyDescent="0.25">
      <c r="A595" s="262"/>
      <c r="C595" s="617" t="s">
        <v>56</v>
      </c>
      <c r="AC595" s="377"/>
    </row>
    <row r="596" spans="1:54" s="1" customFormat="1" x14ac:dyDescent="0.25">
      <c r="A596" s="262"/>
      <c r="C596" s="617" t="s">
        <v>56</v>
      </c>
      <c r="AC596" s="377"/>
    </row>
    <row r="597" spans="1:54" s="1" customFormat="1" x14ac:dyDescent="0.25">
      <c r="A597" s="262"/>
      <c r="C597" s="617" t="s">
        <v>56</v>
      </c>
      <c r="AC597" s="377"/>
    </row>
    <row r="598" spans="1:54" s="364" customFormat="1" ht="46.5" customHeight="1" x14ac:dyDescent="0.45">
      <c r="D598" s="364" t="s">
        <v>135</v>
      </c>
      <c r="AC598" s="435"/>
      <c r="AF598" s="364" t="s">
        <v>247</v>
      </c>
      <c r="AY598" s="365"/>
      <c r="AZ598" s="365"/>
      <c r="BA598" s="365"/>
      <c r="BB598" s="365"/>
    </row>
    <row r="599" spans="1:54" s="360" customFormat="1" ht="37.5" customHeight="1" x14ac:dyDescent="0.25">
      <c r="A599" s="362"/>
      <c r="B599" s="362"/>
      <c r="C599" s="362"/>
      <c r="D599" s="361" t="s">
        <v>152</v>
      </c>
      <c r="E599" s="362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  <c r="Z599" s="362"/>
      <c r="AA599" s="362"/>
      <c r="AB599" s="362"/>
      <c r="AC599" s="436"/>
      <c r="AD599" s="362"/>
      <c r="AE599" s="362"/>
      <c r="AF599" s="361" t="s">
        <v>248</v>
      </c>
      <c r="AY599" s="363"/>
      <c r="AZ599" s="363"/>
      <c r="BA599" s="363"/>
      <c r="BB599" s="363"/>
    </row>
    <row r="600" spans="1:54" s="1" customFormat="1" x14ac:dyDescent="0.25">
      <c r="A600" s="262"/>
      <c r="C600" s="617" t="s">
        <v>56</v>
      </c>
      <c r="AC600" s="377"/>
    </row>
    <row r="601" spans="1:54" s="1" customFormat="1" ht="30" customHeight="1" x14ac:dyDescent="0.25">
      <c r="A601" s="262"/>
      <c r="C601" s="617" t="s">
        <v>56</v>
      </c>
      <c r="D601" s="819" t="str">
        <f>$D$182</f>
        <v>Losun árið 2023 í samanburði við losun fyrri ára</v>
      </c>
      <c r="E601" s="819"/>
      <c r="F601" s="819"/>
      <c r="G601" s="819"/>
      <c r="H601" s="819"/>
      <c r="I601" s="819"/>
      <c r="J601" s="819"/>
      <c r="K601" s="819"/>
      <c r="L601" s="819"/>
      <c r="M601" s="819"/>
      <c r="N601" s="819"/>
      <c r="O601" s="819"/>
      <c r="P601" s="819"/>
      <c r="AC601" s="377"/>
      <c r="AF601" s="745" t="str">
        <f>$AF$4</f>
        <v>Emissions in 2023 compared to emissions in previous years</v>
      </c>
      <c r="AG601" s="745"/>
      <c r="AH601" s="745"/>
      <c r="AI601" s="745"/>
      <c r="AJ601" s="745"/>
      <c r="AK601" s="745"/>
      <c r="AL601" s="745"/>
      <c r="AM601" s="745"/>
      <c r="AN601" s="745"/>
      <c r="AO601" s="745"/>
      <c r="AP601" s="745"/>
      <c r="AQ601" s="745"/>
      <c r="AR601" s="745"/>
    </row>
    <row r="602" spans="1:54" s="1" customFormat="1" ht="28.5" customHeight="1" x14ac:dyDescent="0.25">
      <c r="A602" s="262"/>
      <c r="C602" s="617" t="s">
        <v>56</v>
      </c>
      <c r="D602" s="233"/>
      <c r="E602" s="713">
        <f>$B$2</f>
        <v>2023</v>
      </c>
      <c r="F602" s="714"/>
      <c r="G602" s="715"/>
      <c r="H602" s="713" t="str">
        <f>"Breyting frá "&amp;$B$3</f>
        <v>Breyting frá 2022</v>
      </c>
      <c r="I602" s="714"/>
      <c r="J602" s="715"/>
      <c r="K602" s="713" t="str">
        <f>"Breyting frá "&amp;$B$4</f>
        <v>Breyting frá 2005</v>
      </c>
      <c r="L602" s="714"/>
      <c r="M602" s="715"/>
      <c r="N602" s="713" t="str">
        <f>"Breyting frá "&amp;$B$5</f>
        <v>Breyting frá 1990</v>
      </c>
      <c r="O602" s="714"/>
      <c r="P602" s="714"/>
      <c r="AC602" s="377"/>
      <c r="AF602" s="233"/>
      <c r="AG602" s="746" t="str">
        <f>"Emissions in "&amp;$B$2</f>
        <v>Emissions in 2023</v>
      </c>
      <c r="AH602" s="747"/>
      <c r="AI602" s="748"/>
      <c r="AJ602" s="746" t="str">
        <f>"Change from "&amp;$B$3</f>
        <v>Change from 2022</v>
      </c>
      <c r="AK602" s="747"/>
      <c r="AL602" s="748"/>
      <c r="AM602" s="746" t="str">
        <f>"Change from "&amp;$B$4</f>
        <v>Change from 2005</v>
      </c>
      <c r="AN602" s="747"/>
      <c r="AO602" s="748"/>
      <c r="AP602" s="746" t="str">
        <f>"Change from "&amp;$B$5</f>
        <v>Change from 1990</v>
      </c>
      <c r="AQ602" s="747"/>
      <c r="AR602" s="747"/>
    </row>
    <row r="603" spans="1:54" s="1" customFormat="1" x14ac:dyDescent="0.25">
      <c r="A603" s="262"/>
      <c r="C603" s="617" t="s">
        <v>56</v>
      </c>
      <c r="D603" s="233"/>
      <c r="E603" s="750" t="s">
        <v>5</v>
      </c>
      <c r="F603" s="750"/>
      <c r="G603" s="235" t="s">
        <v>4</v>
      </c>
      <c r="H603" s="750" t="s">
        <v>5</v>
      </c>
      <c r="I603" s="750"/>
      <c r="J603" s="235" t="s">
        <v>4</v>
      </c>
      <c r="K603" s="750" t="s">
        <v>5</v>
      </c>
      <c r="L603" s="750"/>
      <c r="M603" s="235" t="s">
        <v>4</v>
      </c>
      <c r="N603" s="750" t="s">
        <v>5</v>
      </c>
      <c r="O603" s="750"/>
      <c r="P603" s="234" t="s">
        <v>4</v>
      </c>
      <c r="AC603" s="377"/>
      <c r="AF603" s="233"/>
      <c r="AG603" s="749" t="s">
        <v>204</v>
      </c>
      <c r="AH603" s="750"/>
      <c r="AI603" s="235" t="s">
        <v>4</v>
      </c>
      <c r="AJ603" s="749" t="s">
        <v>204</v>
      </c>
      <c r="AK603" s="750"/>
      <c r="AL603" s="235" t="s">
        <v>4</v>
      </c>
      <c r="AM603" s="749" t="s">
        <v>204</v>
      </c>
      <c r="AN603" s="750"/>
      <c r="AO603" s="235" t="s">
        <v>4</v>
      </c>
      <c r="AP603" s="749" t="s">
        <v>204</v>
      </c>
      <c r="AQ603" s="750"/>
      <c r="AR603" s="234" t="s">
        <v>4</v>
      </c>
    </row>
    <row r="604" spans="1:54" s="1" customFormat="1" ht="21" customHeight="1" x14ac:dyDescent="0.25">
      <c r="A604" s="262" t="s">
        <v>92</v>
      </c>
      <c r="B604" s="5" t="s">
        <v>56</v>
      </c>
      <c r="C604" s="617" t="s">
        <v>56</v>
      </c>
      <c r="D604" s="82" t="str">
        <f>'Talnagögn | Numerical Data'!$D$112</f>
        <v>Alþjóðaflug</v>
      </c>
      <c r="E604" s="721" cm="1">
        <f t="array" ref="E604">INDEX('Talnagögn | Numerical Data'!$1:$1048576,_xlfn.XMATCH($A604,'Talnagögn | Numerical Data'!$A:$A),_xlfn.XMATCH($B$2,'Talnagögn | Numerical Data'!$110:$110))</f>
        <v>967.65275881202047</v>
      </c>
      <c r="F604" s="721"/>
      <c r="G604" s="44">
        <f>E604/$E$606</f>
        <v>0.74418352348911221</v>
      </c>
      <c r="H604" s="721" cm="1">
        <f t="array" ref="H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Data'!$A:$A),_xlfn.XMATCH($B$3,'Talnagögn | Numerical Data'!$110:$110))</f>
        <v>112.90672529255471</v>
      </c>
      <c r="I604" s="721"/>
      <c r="J604" s="44" cm="1">
        <f t="array" ref="J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Data'!$A:$A),_xlfn.XMATCH($B$3,'Talnagögn | Numerical Data'!$110:$110))-1</f>
        <v>0.13209388621279095</v>
      </c>
      <c r="K604" s="721" cm="1">
        <f t="array" ref="K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Data'!$A:$A),_xlfn.XMATCH($B$4,'Talnagögn | Numerical Data'!$110:$110))</f>
        <v>543.2227106292205</v>
      </c>
      <c r="L604" s="721"/>
      <c r="M604" s="44" cm="1">
        <f t="array" ref="M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Data'!$A:$A),_xlfn.XMATCH($B$4,'Talnagögn | Numerical Data'!$110:$110))-1</f>
        <v>1.2798874937225393</v>
      </c>
      <c r="N604" s="721" cm="1">
        <f t="array" ref="N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Data'!$A:$A),_xlfn.XMATCH($B$5,'Talnagögn | Numerical Data'!$110:$110))</f>
        <v>746.54338073535382</v>
      </c>
      <c r="O604" s="721"/>
      <c r="P604" s="8" cm="1">
        <f t="array" ref="P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Data'!$A:$A),_xlfn.XMATCH($B$5,'Talnagögn | Numerical Data'!$110:$110))-1</f>
        <v>3.3763533108781125</v>
      </c>
      <c r="Q604" s="818"/>
      <c r="R604" s="818"/>
      <c r="S604" s="8"/>
      <c r="T604" s="818"/>
      <c r="U604" s="818"/>
      <c r="V604" s="8"/>
      <c r="W604" s="818"/>
      <c r="X604" s="818"/>
      <c r="Y604" s="8"/>
      <c r="Z604" s="818"/>
      <c r="AA604" s="818"/>
      <c r="AC604" s="377"/>
      <c r="AF604" s="420" t="str">
        <f>'Talnagögn | Numerical Data'!$E$112</f>
        <v>International Aviation</v>
      </c>
      <c r="AG604" s="721" cm="1">
        <f t="array" ref="AG604">INDEX('Talnagögn | Numerical Data'!$1:$1048576,_xlfn.XMATCH($A604,'Talnagögn | Numerical Data'!$A:$A),_xlfn.XMATCH($B$2,'Talnagögn | Numerical Data'!$110:$110))</f>
        <v>967.65275881202047</v>
      </c>
      <c r="AH604" s="721"/>
      <c r="AI604" s="44">
        <f>AG604/$E$606</f>
        <v>0.74418352348911221</v>
      </c>
      <c r="AJ604" s="721" cm="1">
        <f t="array" ref="AJ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Data'!$A:$A),_xlfn.XMATCH($B$3,'Talnagögn | Numerical Data'!$110:$110))</f>
        <v>112.90672529255471</v>
      </c>
      <c r="AK604" s="721"/>
      <c r="AL604" s="44" cm="1">
        <f t="array" ref="AL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Data'!$A:$A),_xlfn.XMATCH($B$3,'Talnagögn | Numerical Data'!$110:$110))-1</f>
        <v>0.13209388621279095</v>
      </c>
      <c r="AM604" s="721" cm="1">
        <f t="array" ref="AM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Data'!$A:$A),_xlfn.XMATCH($B$4,'Talnagögn | Numerical Data'!$110:$110))</f>
        <v>543.2227106292205</v>
      </c>
      <c r="AN604" s="721"/>
      <c r="AO604" s="44" cm="1">
        <f t="array" ref="AO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Data'!$A:$A),_xlfn.XMATCH($B$4,'Talnagögn | Numerical Data'!$110:$110))-1</f>
        <v>1.2798874937225393</v>
      </c>
      <c r="AP604" s="721" cm="1">
        <f t="array" ref="AP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Data'!$A:$A),_xlfn.XMATCH($B$5,'Talnagögn | Numerical Data'!$110:$110))</f>
        <v>746.54338073535382</v>
      </c>
      <c r="AQ604" s="721"/>
      <c r="AR604" s="8" cm="1">
        <f t="array" ref="AR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Data'!$A:$A),_xlfn.XMATCH($B$5,'Talnagögn | Numerical Data'!$110:$110))-1</f>
        <v>3.3763533108781125</v>
      </c>
    </row>
    <row r="605" spans="1:54" s="1" customFormat="1" x14ac:dyDescent="0.25">
      <c r="A605" s="262" t="s">
        <v>93</v>
      </c>
      <c r="B605" s="5" t="s">
        <v>56</v>
      </c>
      <c r="C605" s="617" t="s">
        <v>56</v>
      </c>
      <c r="D605" s="540" t="str">
        <f>'Talnagögn | Numerical Data'!$D$113</f>
        <v>Alþjóðasiglingar</v>
      </c>
      <c r="E605" s="743" cm="1">
        <f t="array" ref="E605">INDEX('Talnagögn | Numerical Data'!$1:$1048576,_xlfn.XMATCH($A605,'Talnagögn | Numerical Data'!$A:$A),_xlfn.XMATCH($B$2,'Talnagögn | Numerical Data'!$110:$110))</f>
        <v>332.63504422233115</v>
      </c>
      <c r="F605" s="744"/>
      <c r="G605" s="101">
        <f>E605/$E$606</f>
        <v>0.25581647651088785</v>
      </c>
      <c r="H605" s="743" cm="1">
        <f t="array" ref="H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Data'!$A:$A),_xlfn.XMATCH($B$3,'Talnagögn | Numerical Data'!$110:$110))</f>
        <v>45.400072782545749</v>
      </c>
      <c r="I605" s="744"/>
      <c r="J605" s="101" cm="1">
        <f t="array" ref="J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Data'!$A:$A),_xlfn.XMATCH($B$3,'Talnagögn | Numerical Data'!$110:$110))-1</f>
        <v>0.15805900150310626</v>
      </c>
      <c r="K605" s="743" cm="1">
        <f t="array" ref="K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Data'!$A:$A),_xlfn.XMATCH($B$4,'Talnagögn | Numerical Data'!$110:$110))</f>
        <v>330.88223067391988</v>
      </c>
      <c r="L605" s="744"/>
      <c r="M605" s="101" cm="1">
        <f t="array" ref="M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Data'!$A:$A),_xlfn.XMATCH($B$4,'Talnagögn | Numerical Data'!$110:$110))-1</f>
        <v>188.77206361956326</v>
      </c>
      <c r="N605" s="743" cm="1">
        <f t="array" ref="N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Data'!$A:$A),_xlfn.XMATCH($B$5,'Talnagögn | Numerical Data'!$110:$110))</f>
        <v>304.55611922499372</v>
      </c>
      <c r="O605" s="744"/>
      <c r="P605" s="99" cm="1">
        <f t="array" ref="P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Data'!$A:$A),_xlfn.XMATCH($B$5,'Talnagögn | Numerical Data'!$110:$110))-1</f>
        <v>10.846430882018218</v>
      </c>
      <c r="Q605" s="818"/>
      <c r="R605" s="818"/>
      <c r="S605" s="8"/>
      <c r="T605" s="818"/>
      <c r="U605" s="818"/>
      <c r="V605" s="8"/>
      <c r="W605" s="818"/>
      <c r="X605" s="818"/>
      <c r="Y605" s="8"/>
      <c r="Z605" s="818"/>
      <c r="AA605" s="818"/>
      <c r="AC605" s="377"/>
      <c r="AF605" s="541" t="str">
        <f>'Talnagögn | Numerical Data'!$E$113</f>
        <v>International Navigation</v>
      </c>
      <c r="AG605" s="743" cm="1">
        <f t="array" ref="AG605">INDEX('Talnagögn | Numerical Data'!$1:$1048576,_xlfn.XMATCH($A605,'Talnagögn | Numerical Data'!$A:$A),_xlfn.XMATCH($B$2,'Talnagögn | Numerical Data'!$110:$110))</f>
        <v>332.63504422233115</v>
      </c>
      <c r="AH605" s="744"/>
      <c r="AI605" s="101">
        <f>AG605/$E$606</f>
        <v>0.25581647651088785</v>
      </c>
      <c r="AJ605" s="743" cm="1">
        <f t="array" ref="AJ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Data'!$A:$A),_xlfn.XMATCH($B$3,'Talnagögn | Numerical Data'!$110:$110))</f>
        <v>45.400072782545749</v>
      </c>
      <c r="AK605" s="744"/>
      <c r="AL605" s="101" cm="1">
        <f t="array" ref="AL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Data'!$A:$A),_xlfn.XMATCH($B$3,'Talnagögn | Numerical Data'!$110:$110))-1</f>
        <v>0.15805900150310626</v>
      </c>
      <c r="AM605" s="743" cm="1">
        <f t="array" ref="AM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Data'!$A:$A),_xlfn.XMATCH($B$4,'Talnagögn | Numerical Data'!$110:$110))</f>
        <v>330.88223067391988</v>
      </c>
      <c r="AN605" s="744"/>
      <c r="AO605" s="101" cm="1">
        <f t="array" ref="AO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Data'!$A:$A),_xlfn.XMATCH($B$4,'Talnagögn | Numerical Data'!$110:$110))-1</f>
        <v>188.77206361956326</v>
      </c>
      <c r="AP605" s="743" cm="1">
        <f t="array" ref="AP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Data'!$A:$A),_xlfn.XMATCH($B$5,'Talnagögn | Numerical Data'!$110:$110))</f>
        <v>304.55611922499372</v>
      </c>
      <c r="AQ605" s="744"/>
      <c r="AR605" s="99" cm="1">
        <f t="array" ref="AR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Data'!$A:$A),_xlfn.XMATCH($B$5,'Talnagögn | Numerical Data'!$110:$110))-1</f>
        <v>10.846430882018218</v>
      </c>
    </row>
    <row r="606" spans="1:54" ht="28.5" customHeight="1" x14ac:dyDescent="0.25">
      <c r="A606" s="252" t="s">
        <v>296</v>
      </c>
      <c r="B606" s="17" t="s">
        <v>56</v>
      </c>
      <c r="C606" s="617" t="s">
        <v>56</v>
      </c>
      <c r="D606" s="46" t="s">
        <v>13</v>
      </c>
      <c r="E606" s="710" cm="1">
        <f t="array" ref="E606">INDEX('Talnagögn | Numerical Data'!$1:$1048576,_xlfn.XMATCH($A606,'Talnagögn | Numerical Data'!$A:$A),_xlfn.XMATCH($B$2,'Talnagögn | Numerical Data'!$110:$110))</f>
        <v>1300.2878030343516</v>
      </c>
      <c r="F606" s="711"/>
      <c r="G606" s="47">
        <f>SUM(G604:G605)</f>
        <v>1</v>
      </c>
      <c r="H606" s="710" cm="1">
        <f t="array" ref="H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Data'!$A:$A),_xlfn.XMATCH($B$3,'Talnagögn | Numerical Data'!$110:$110))</f>
        <v>158.30679807510023</v>
      </c>
      <c r="I606" s="711"/>
      <c r="J606" s="47" cm="1">
        <f t="array" ref="J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Data'!$A:$A),_xlfn.XMATCH($B$3,'Talnagögn | Numerical Data'!$110:$110))-1</f>
        <v>0.13862472089082511</v>
      </c>
      <c r="K606" s="710" cm="1">
        <f t="array" ref="K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Data'!$A:$A),_xlfn.XMATCH($B$4,'Talnagögn | Numerical Data'!$110:$110))</f>
        <v>874.10494130314032</v>
      </c>
      <c r="L606" s="711"/>
      <c r="M606" s="47" cm="1">
        <f t="array" ref="M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Data'!$A:$A),_xlfn.XMATCH($B$4,'Talnagögn | Numerical Data'!$110:$110))-1</f>
        <v>2.0510091319777857</v>
      </c>
      <c r="N606" s="710" cm="1">
        <f t="array" ref="N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Data'!$A:$A),_xlfn.XMATCH($B$5,'Talnagögn | Numerical Data'!$110:$110))</f>
        <v>1051.0994999603474</v>
      </c>
      <c r="O606" s="711"/>
      <c r="P606" s="45" cm="1">
        <f t="array" ref="P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Data'!$A:$A),_xlfn.XMATCH($B$5,'Talnagögn | Numerical Data'!$110:$110))-1</f>
        <v>4.2180932531499744</v>
      </c>
      <c r="Q606" s="712"/>
      <c r="R606" s="712"/>
      <c r="S606" s="12"/>
      <c r="T606" s="712"/>
      <c r="U606" s="712"/>
      <c r="V606" s="12"/>
      <c r="W606" s="712"/>
      <c r="X606" s="712"/>
      <c r="Y606" s="12"/>
      <c r="Z606" s="712"/>
      <c r="AA606" s="712"/>
      <c r="AC606" s="383"/>
      <c r="AF606" s="46" t="s">
        <v>211</v>
      </c>
      <c r="AG606" s="710" cm="1">
        <f t="array" ref="AG606">INDEX('Talnagögn | Numerical Data'!$1:$1048576,_xlfn.XMATCH($A606,'Talnagögn | Numerical Data'!$A:$A),_xlfn.XMATCH($B$2,'Talnagögn | Numerical Data'!$110:$110))</f>
        <v>1300.2878030343516</v>
      </c>
      <c r="AH606" s="711"/>
      <c r="AI606" s="47">
        <f>SUM(AI604:AI605)</f>
        <v>1</v>
      </c>
      <c r="AJ606" s="710" cm="1">
        <f t="array" ref="AJ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Data'!$A:$A),_xlfn.XMATCH($B$3,'Talnagögn | Numerical Data'!$110:$110))</f>
        <v>158.30679807510023</v>
      </c>
      <c r="AK606" s="711"/>
      <c r="AL606" s="47" cm="1">
        <f t="array" ref="AL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Data'!$A:$A),_xlfn.XMATCH($B$3,'Talnagögn | Numerical Data'!$110:$110))-1</f>
        <v>0.13862472089082511</v>
      </c>
      <c r="AM606" s="710" cm="1">
        <f t="array" ref="AM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Data'!$A:$A),_xlfn.XMATCH($B$4,'Talnagögn | Numerical Data'!$110:$110))</f>
        <v>874.10494130314032</v>
      </c>
      <c r="AN606" s="711"/>
      <c r="AO606" s="47" cm="1">
        <f t="array" ref="AO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Data'!$A:$A),_xlfn.XMATCH($B$4,'Talnagögn | Numerical Data'!$110:$110))-1</f>
        <v>2.0510091319777857</v>
      </c>
      <c r="AP606" s="710" cm="1">
        <f t="array" ref="AP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Data'!$A:$A),_xlfn.XMATCH($B$5,'Talnagögn | Numerical Data'!$110:$110))</f>
        <v>1051.0994999603474</v>
      </c>
      <c r="AQ606" s="711"/>
      <c r="AR606" s="45" cm="1">
        <f t="array" ref="AR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Data'!$A:$A),_xlfn.XMATCH($B$5,'Talnagögn | Numerical Data'!$110:$110))-1</f>
        <v>4.2180932531499744</v>
      </c>
    </row>
    <row r="607" spans="1:54" s="1" customFormat="1" x14ac:dyDescent="0.25">
      <c r="A607" s="262"/>
      <c r="C607" s="617" t="s">
        <v>56</v>
      </c>
      <c r="AC607" s="377"/>
    </row>
    <row r="608" spans="1:54" s="1" customFormat="1" x14ac:dyDescent="0.25">
      <c r="A608" s="262"/>
      <c r="C608" s="617" t="s">
        <v>56</v>
      </c>
      <c r="AC608" s="377"/>
    </row>
    <row r="609" spans="1:29" s="1" customFormat="1" x14ac:dyDescent="0.25">
      <c r="A609" s="262"/>
      <c r="C609" s="617" t="s">
        <v>56</v>
      </c>
      <c r="AC609" s="377"/>
    </row>
    <row r="610" spans="1:29" s="1" customFormat="1" x14ac:dyDescent="0.25">
      <c r="A610" s="262"/>
      <c r="C610" s="617" t="s">
        <v>56</v>
      </c>
      <c r="AC610" s="377"/>
    </row>
    <row r="611" spans="1:29" s="1" customFormat="1" x14ac:dyDescent="0.25">
      <c r="A611" s="262"/>
      <c r="C611" s="617" t="s">
        <v>56</v>
      </c>
      <c r="AC611" s="377"/>
    </row>
    <row r="612" spans="1:29" s="1" customFormat="1" x14ac:dyDescent="0.25">
      <c r="A612" s="262"/>
      <c r="C612" s="617" t="s">
        <v>56</v>
      </c>
      <c r="AC612" s="377"/>
    </row>
    <row r="613" spans="1:29" s="1" customFormat="1" x14ac:dyDescent="0.25">
      <c r="A613" s="262"/>
      <c r="C613" s="617" t="s">
        <v>56</v>
      </c>
      <c r="AC613" s="377"/>
    </row>
    <row r="614" spans="1:29" s="1" customFormat="1" x14ac:dyDescent="0.25">
      <c r="A614" s="262"/>
      <c r="C614" s="617" t="s">
        <v>56</v>
      </c>
      <c r="AC614" s="377"/>
    </row>
    <row r="615" spans="1:29" s="1" customFormat="1" x14ac:dyDescent="0.25">
      <c r="A615" s="262"/>
      <c r="C615" s="617" t="s">
        <v>56</v>
      </c>
      <c r="AC615" s="377"/>
    </row>
    <row r="616" spans="1:29" s="1" customFormat="1" x14ac:dyDescent="0.25">
      <c r="A616" s="262"/>
      <c r="C616" s="617" t="s">
        <v>56</v>
      </c>
      <c r="AC616" s="377"/>
    </row>
    <row r="617" spans="1:29" s="1" customFormat="1" x14ac:dyDescent="0.25">
      <c r="A617" s="262"/>
      <c r="C617" s="617" t="s">
        <v>56</v>
      </c>
      <c r="AC617" s="377"/>
    </row>
    <row r="618" spans="1:29" s="1" customFormat="1" x14ac:dyDescent="0.25">
      <c r="A618" s="262"/>
      <c r="C618" s="617" t="s">
        <v>56</v>
      </c>
      <c r="AC618" s="377"/>
    </row>
    <row r="619" spans="1:29" s="1" customFormat="1" x14ac:dyDescent="0.25">
      <c r="A619" s="262"/>
      <c r="C619" s="617" t="s">
        <v>56</v>
      </c>
      <c r="AC619" s="377"/>
    </row>
    <row r="620" spans="1:29" s="1" customFormat="1" x14ac:dyDescent="0.25">
      <c r="A620" s="262"/>
      <c r="C620" s="617" t="s">
        <v>56</v>
      </c>
      <c r="AC620" s="377"/>
    </row>
    <row r="621" spans="1:29" s="1" customFormat="1" x14ac:dyDescent="0.25">
      <c r="A621" s="262"/>
      <c r="C621" s="617" t="s">
        <v>56</v>
      </c>
      <c r="AC621" s="377"/>
    </row>
    <row r="622" spans="1:29" s="1" customFormat="1" x14ac:dyDescent="0.25">
      <c r="A622" s="262"/>
      <c r="C622" s="617" t="s">
        <v>56</v>
      </c>
      <c r="AC622" s="377"/>
    </row>
    <row r="623" spans="1:29" s="1" customFormat="1" x14ac:dyDescent="0.25">
      <c r="A623" s="262"/>
      <c r="C623" s="617" t="s">
        <v>56</v>
      </c>
      <c r="AC623" s="377"/>
    </row>
    <row r="624" spans="1:29" s="1" customFormat="1" x14ac:dyDescent="0.25">
      <c r="A624" s="262"/>
      <c r="C624" s="617" t="s">
        <v>56</v>
      </c>
      <c r="AC624" s="377"/>
    </row>
    <row r="625" spans="1:32" s="1" customFormat="1" x14ac:dyDescent="0.25">
      <c r="A625" s="262"/>
      <c r="C625" s="617" t="s">
        <v>56</v>
      </c>
      <c r="AC625" s="377"/>
    </row>
    <row r="626" spans="1:32" s="1" customFormat="1" x14ac:dyDescent="0.25">
      <c r="A626" s="262"/>
      <c r="C626" s="617" t="s">
        <v>56</v>
      </c>
      <c r="AC626" s="377"/>
    </row>
    <row r="627" spans="1:32" s="1" customFormat="1" x14ac:dyDescent="0.25">
      <c r="A627" s="262"/>
      <c r="C627" s="617" t="s">
        <v>56</v>
      </c>
      <c r="AC627" s="377"/>
    </row>
    <row r="628" spans="1:32" s="1" customFormat="1" x14ac:dyDescent="0.25">
      <c r="A628" s="262"/>
      <c r="C628" s="617" t="s">
        <v>56</v>
      </c>
      <c r="AC628" s="377"/>
    </row>
    <row r="629" spans="1:32" s="1" customFormat="1" x14ac:dyDescent="0.25">
      <c r="A629" s="262"/>
      <c r="C629" s="617" t="s">
        <v>56</v>
      </c>
      <c r="AC629" s="377"/>
    </row>
    <row r="630" spans="1:32" s="1" customFormat="1" x14ac:dyDescent="0.25">
      <c r="A630" s="262"/>
      <c r="C630" s="617" t="s">
        <v>56</v>
      </c>
      <c r="AC630" s="377"/>
    </row>
    <row r="631" spans="1:32" s="1" customFormat="1" x14ac:dyDescent="0.25">
      <c r="A631" s="262"/>
      <c r="C631" s="617" t="s">
        <v>56</v>
      </c>
      <c r="AC631" s="377"/>
    </row>
    <row r="632" spans="1:32" s="1" customFormat="1" x14ac:dyDescent="0.25">
      <c r="A632" s="262"/>
      <c r="C632" s="617" t="s">
        <v>56</v>
      </c>
      <c r="AC632" s="377"/>
    </row>
    <row r="633" spans="1:32" s="236" customFormat="1" ht="27" customHeight="1" x14ac:dyDescent="0.25">
      <c r="D633" s="590" t="s">
        <v>35</v>
      </c>
      <c r="AC633" s="391"/>
      <c r="AF633" s="590" t="s">
        <v>215</v>
      </c>
    </row>
    <row r="634" spans="1:32" s="1" customFormat="1" x14ac:dyDescent="0.25">
      <c r="A634" s="262"/>
      <c r="C634" s="617" t="s">
        <v>56</v>
      </c>
      <c r="AC634" s="377"/>
    </row>
    <row r="635" spans="1:32" s="1" customFormat="1" x14ac:dyDescent="0.25">
      <c r="A635" s="262"/>
      <c r="C635" s="617" t="s">
        <v>56</v>
      </c>
      <c r="AC635" s="377"/>
    </row>
    <row r="636" spans="1:32" s="1" customFormat="1" x14ac:dyDescent="0.25">
      <c r="A636" s="262"/>
      <c r="C636" s="617" t="s">
        <v>56</v>
      </c>
      <c r="AC636" s="377"/>
    </row>
    <row r="637" spans="1:32" s="1" customFormat="1" x14ac:dyDescent="0.25">
      <c r="A637" s="262"/>
      <c r="C637" s="617" t="s">
        <v>56</v>
      </c>
      <c r="AC637" s="377"/>
    </row>
    <row r="638" spans="1:32" s="1" customFormat="1" x14ac:dyDescent="0.25">
      <c r="A638" s="262"/>
      <c r="C638" s="617" t="s">
        <v>56</v>
      </c>
      <c r="AC638" s="377"/>
    </row>
    <row r="639" spans="1:32" s="1" customFormat="1" x14ac:dyDescent="0.25">
      <c r="A639" s="262"/>
      <c r="C639" s="617" t="s">
        <v>56</v>
      </c>
      <c r="AC639" s="377"/>
    </row>
    <row r="640" spans="1:32" s="1" customFormat="1" x14ac:dyDescent="0.25">
      <c r="A640" s="262"/>
      <c r="C640" s="617" t="s">
        <v>56</v>
      </c>
      <c r="AC640" s="377"/>
    </row>
    <row r="641" spans="1:29" s="1" customFormat="1" x14ac:dyDescent="0.25">
      <c r="A641" s="262"/>
      <c r="C641" s="617" t="s">
        <v>56</v>
      </c>
      <c r="AC641" s="377"/>
    </row>
    <row r="642" spans="1:29" s="1" customFormat="1" x14ac:dyDescent="0.25">
      <c r="A642" s="262"/>
      <c r="C642" s="617" t="s">
        <v>56</v>
      </c>
      <c r="AC642" s="377"/>
    </row>
    <row r="643" spans="1:29" s="1" customFormat="1" x14ac:dyDescent="0.25">
      <c r="A643" s="262"/>
      <c r="C643" s="617" t="s">
        <v>56</v>
      </c>
      <c r="AC643" s="377"/>
    </row>
    <row r="644" spans="1:29" s="1" customFormat="1" x14ac:dyDescent="0.25">
      <c r="A644" s="262"/>
      <c r="C644" s="617" t="s">
        <v>56</v>
      </c>
      <c r="AC644" s="377"/>
    </row>
    <row r="645" spans="1:29" s="1" customFormat="1" x14ac:dyDescent="0.25">
      <c r="A645" s="262"/>
      <c r="C645" s="617" t="s">
        <v>56</v>
      </c>
      <c r="AC645" s="377"/>
    </row>
    <row r="646" spans="1:29" s="1" customFormat="1" x14ac:dyDescent="0.25">
      <c r="A646" s="262"/>
      <c r="C646" s="617" t="s">
        <v>56</v>
      </c>
      <c r="AC646" s="377"/>
    </row>
    <row r="647" spans="1:29" s="1" customFormat="1" x14ac:dyDescent="0.25">
      <c r="A647" s="262"/>
      <c r="C647" s="617" t="s">
        <v>56</v>
      </c>
      <c r="AC647" s="377"/>
    </row>
    <row r="648" spans="1:29" s="1" customFormat="1" x14ac:dyDescent="0.25">
      <c r="A648" s="262"/>
      <c r="C648" s="617" t="s">
        <v>56</v>
      </c>
      <c r="AC648" s="377"/>
    </row>
    <row r="649" spans="1:29" s="1" customFormat="1" x14ac:dyDescent="0.25">
      <c r="A649" s="262"/>
      <c r="C649" s="617" t="s">
        <v>56</v>
      </c>
      <c r="AC649" s="377"/>
    </row>
    <row r="650" spans="1:29" s="1" customFormat="1" x14ac:dyDescent="0.25">
      <c r="A650" s="262"/>
      <c r="C650" s="617" t="s">
        <v>56</v>
      </c>
      <c r="AC650" s="377"/>
    </row>
    <row r="651" spans="1:29" s="1" customFormat="1" x14ac:dyDescent="0.25">
      <c r="A651" s="262"/>
      <c r="C651" s="617" t="s">
        <v>56</v>
      </c>
      <c r="AC651" s="377"/>
    </row>
    <row r="652" spans="1:29" s="1" customFormat="1" x14ac:dyDescent="0.25">
      <c r="A652" s="262"/>
      <c r="C652" s="617" t="s">
        <v>56</v>
      </c>
      <c r="AC652" s="377"/>
    </row>
    <row r="653" spans="1:29" s="1" customFormat="1" x14ac:dyDescent="0.25">
      <c r="A653" s="262"/>
      <c r="C653" s="617" t="s">
        <v>56</v>
      </c>
      <c r="AC653" s="377"/>
    </row>
    <row r="654" spans="1:29" s="1" customFormat="1" x14ac:dyDescent="0.25">
      <c r="A654" s="262"/>
      <c r="C654" s="617" t="s">
        <v>56</v>
      </c>
      <c r="AC654" s="377"/>
    </row>
    <row r="655" spans="1:29" s="1" customFormat="1" x14ac:dyDescent="0.25">
      <c r="A655" s="262"/>
      <c r="C655" s="617" t="s">
        <v>56</v>
      </c>
      <c r="AC655" s="377"/>
    </row>
    <row r="656" spans="1:29" s="1" customFormat="1" x14ac:dyDescent="0.25">
      <c r="A656" s="262"/>
      <c r="C656" s="617" t="s">
        <v>56</v>
      </c>
      <c r="AC656" s="377"/>
    </row>
    <row r="657" spans="1:36" s="1" customFormat="1" x14ac:dyDescent="0.25">
      <c r="A657" s="262"/>
      <c r="C657" s="617" t="s">
        <v>56</v>
      </c>
      <c r="AC657" s="377"/>
    </row>
    <row r="658" spans="1:36" s="1" customFormat="1" x14ac:dyDescent="0.25">
      <c r="A658" s="262"/>
      <c r="C658" s="617" t="s">
        <v>56</v>
      </c>
      <c r="AC658" s="377"/>
    </row>
    <row r="659" spans="1:36" s="1" customFormat="1" ht="13.5" customHeight="1" x14ac:dyDescent="0.25">
      <c r="A659" s="262"/>
      <c r="B659" s="5"/>
      <c r="C659" s="617" t="s">
        <v>56</v>
      </c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3"/>
      <c r="AA659" s="14"/>
      <c r="AB659" s="14"/>
      <c r="AC659" s="380"/>
      <c r="AD659" s="14"/>
      <c r="AE659" s="14"/>
      <c r="AF659" s="14"/>
      <c r="AG659" s="14"/>
      <c r="AH659" s="14"/>
      <c r="AI659" s="14"/>
      <c r="AJ659" s="15"/>
    </row>
    <row r="660" spans="1:36" s="1" customFormat="1" x14ac:dyDescent="0.25">
      <c r="A660" s="262"/>
      <c r="C660" s="617" t="s">
        <v>56</v>
      </c>
      <c r="AC660" s="377"/>
    </row>
    <row r="661" spans="1:36" s="1" customFormat="1" x14ac:dyDescent="0.25">
      <c r="A661" s="262"/>
      <c r="C661" s="617" t="s">
        <v>56</v>
      </c>
      <c r="AC661" s="377"/>
    </row>
    <row r="662" spans="1:36" s="29" customFormat="1" ht="15.75" thickBot="1" x14ac:dyDescent="0.3">
      <c r="A662" s="257"/>
      <c r="AC662" s="424"/>
    </row>
    <row r="663" spans="1:36" ht="15.75" thickTop="1" x14ac:dyDescent="0.25"/>
  </sheetData>
  <mergeCells count="861">
    <mergeCell ref="D182:P182"/>
    <mergeCell ref="E260:F260"/>
    <mergeCell ref="H260:I260"/>
    <mergeCell ref="K260:L260"/>
    <mergeCell ref="N260:O260"/>
    <mergeCell ref="E473:F473"/>
    <mergeCell ref="H473:I473"/>
    <mergeCell ref="K473:L473"/>
    <mergeCell ref="N473:O473"/>
    <mergeCell ref="D254:P254"/>
    <mergeCell ref="D327:P327"/>
    <mergeCell ref="D396:P396"/>
    <mergeCell ref="D466:P466"/>
    <mergeCell ref="E185:F185"/>
    <mergeCell ref="N185:O185"/>
    <mergeCell ref="K185:L185"/>
    <mergeCell ref="N183:P183"/>
    <mergeCell ref="K183:M183"/>
    <mergeCell ref="E183:G183"/>
    <mergeCell ref="H183:J183"/>
    <mergeCell ref="E184:F184"/>
    <mergeCell ref="K184:L184"/>
    <mergeCell ref="N184:O184"/>
    <mergeCell ref="H184:I184"/>
    <mergeCell ref="E193:F193"/>
    <mergeCell ref="N188:O188"/>
    <mergeCell ref="K190:L190"/>
    <mergeCell ref="E190:F190"/>
    <mergeCell ref="N190:O190"/>
    <mergeCell ref="N191:O191"/>
    <mergeCell ref="E186:F186"/>
    <mergeCell ref="E187:F187"/>
    <mergeCell ref="E188:F188"/>
    <mergeCell ref="H187:I187"/>
    <mergeCell ref="H188:I188"/>
    <mergeCell ref="H186:I186"/>
    <mergeCell ref="K191:L191"/>
    <mergeCell ref="Z193:AA193"/>
    <mergeCell ref="W186:X186"/>
    <mergeCell ref="W193:X193"/>
    <mergeCell ref="K192:L192"/>
    <mergeCell ref="K193:L193"/>
    <mergeCell ref="N192:O192"/>
    <mergeCell ref="Z190:AA190"/>
    <mergeCell ref="Z191:AA191"/>
    <mergeCell ref="Z192:AA192"/>
    <mergeCell ref="N193:O193"/>
    <mergeCell ref="W187:X187"/>
    <mergeCell ref="T193:U193"/>
    <mergeCell ref="T190:U190"/>
    <mergeCell ref="W190:X190"/>
    <mergeCell ref="T192:U192"/>
    <mergeCell ref="W192:X192"/>
    <mergeCell ref="T186:U186"/>
    <mergeCell ref="T191:U191"/>
    <mergeCell ref="W191:X191"/>
    <mergeCell ref="N186:O186"/>
    <mergeCell ref="K189:L189"/>
    <mergeCell ref="K187:L187"/>
    <mergeCell ref="K188:L188"/>
    <mergeCell ref="K186:L186"/>
    <mergeCell ref="Z185:AA185"/>
    <mergeCell ref="Z186:AA186"/>
    <mergeCell ref="Z187:AA187"/>
    <mergeCell ref="Z188:AA188"/>
    <mergeCell ref="Z189:AA189"/>
    <mergeCell ref="T189:U189"/>
    <mergeCell ref="W189:X189"/>
    <mergeCell ref="T187:U187"/>
    <mergeCell ref="T188:U188"/>
    <mergeCell ref="W188:X188"/>
    <mergeCell ref="T185:U185"/>
    <mergeCell ref="W185:X185"/>
    <mergeCell ref="H185:I185"/>
    <mergeCell ref="H261:I261"/>
    <mergeCell ref="K261:L261"/>
    <mergeCell ref="N261:O261"/>
    <mergeCell ref="Q261:R261"/>
    <mergeCell ref="N187:O187"/>
    <mergeCell ref="E192:F192"/>
    <mergeCell ref="N189:O189"/>
    <mergeCell ref="E189:F189"/>
    <mergeCell ref="H189:I189"/>
    <mergeCell ref="H190:I190"/>
    <mergeCell ref="H191:I191"/>
    <mergeCell ref="E191:F191"/>
    <mergeCell ref="E255:G255"/>
    <mergeCell ref="H255:J255"/>
    <mergeCell ref="K255:M255"/>
    <mergeCell ref="N255:P255"/>
    <mergeCell ref="E256:F256"/>
    <mergeCell ref="H256:I256"/>
    <mergeCell ref="K256:L256"/>
    <mergeCell ref="N256:O256"/>
    <mergeCell ref="H192:I192"/>
    <mergeCell ref="H193:I193"/>
    <mergeCell ref="E259:F259"/>
    <mergeCell ref="T257:U257"/>
    <mergeCell ref="W257:X257"/>
    <mergeCell ref="Z257:AA257"/>
    <mergeCell ref="E258:F258"/>
    <mergeCell ref="H258:I258"/>
    <mergeCell ref="K258:L258"/>
    <mergeCell ref="N258:O258"/>
    <mergeCell ref="Q258:R258"/>
    <mergeCell ref="T258:U258"/>
    <mergeCell ref="W258:X258"/>
    <mergeCell ref="Z258:AA258"/>
    <mergeCell ref="E257:F257"/>
    <mergeCell ref="H257:I257"/>
    <mergeCell ref="K257:L257"/>
    <mergeCell ref="N257:O257"/>
    <mergeCell ref="Q257:R257"/>
    <mergeCell ref="N259:O259"/>
    <mergeCell ref="Q259:R259"/>
    <mergeCell ref="T259:U259"/>
    <mergeCell ref="W259:X259"/>
    <mergeCell ref="Z259:AA259"/>
    <mergeCell ref="E264:F264"/>
    <mergeCell ref="H264:I264"/>
    <mergeCell ref="K264:L264"/>
    <mergeCell ref="N264:O264"/>
    <mergeCell ref="Q264:R264"/>
    <mergeCell ref="T261:U261"/>
    <mergeCell ref="W261:X261"/>
    <mergeCell ref="Z261:AA261"/>
    <mergeCell ref="E262:F262"/>
    <mergeCell ref="H262:I262"/>
    <mergeCell ref="K262:L262"/>
    <mergeCell ref="N262:O262"/>
    <mergeCell ref="Q262:R262"/>
    <mergeCell ref="T262:U262"/>
    <mergeCell ref="W262:X262"/>
    <mergeCell ref="Z262:AA262"/>
    <mergeCell ref="E261:F261"/>
    <mergeCell ref="H259:I259"/>
    <mergeCell ref="K259:L259"/>
    <mergeCell ref="T265:U265"/>
    <mergeCell ref="W265:X265"/>
    <mergeCell ref="Z265:AA265"/>
    <mergeCell ref="E265:F265"/>
    <mergeCell ref="H265:I265"/>
    <mergeCell ref="K265:L265"/>
    <mergeCell ref="N265:O265"/>
    <mergeCell ref="Q265:R265"/>
    <mergeCell ref="T264:U264"/>
    <mergeCell ref="W264:X264"/>
    <mergeCell ref="Z264:AA264"/>
    <mergeCell ref="E328:G328"/>
    <mergeCell ref="H328:J328"/>
    <mergeCell ref="D325:Q325"/>
    <mergeCell ref="T266:U266"/>
    <mergeCell ref="W266:X266"/>
    <mergeCell ref="Z266:AA266"/>
    <mergeCell ref="E266:F266"/>
    <mergeCell ref="H266:I266"/>
    <mergeCell ref="K266:L266"/>
    <mergeCell ref="N266:O266"/>
    <mergeCell ref="Q266:R266"/>
    <mergeCell ref="T330:U330"/>
    <mergeCell ref="W330:X330"/>
    <mergeCell ref="Z330:AA330"/>
    <mergeCell ref="E331:F331"/>
    <mergeCell ref="H331:I331"/>
    <mergeCell ref="K331:L331"/>
    <mergeCell ref="N331:O331"/>
    <mergeCell ref="Q331:R331"/>
    <mergeCell ref="T331:U331"/>
    <mergeCell ref="W331:X331"/>
    <mergeCell ref="Z331:AA331"/>
    <mergeCell ref="E330:F330"/>
    <mergeCell ref="H330:I330"/>
    <mergeCell ref="K330:L330"/>
    <mergeCell ref="N330:O330"/>
    <mergeCell ref="Q330:R330"/>
    <mergeCell ref="Z332:AA332"/>
    <mergeCell ref="E333:F333"/>
    <mergeCell ref="H333:I333"/>
    <mergeCell ref="K333:L333"/>
    <mergeCell ref="N333:O333"/>
    <mergeCell ref="Q333:R333"/>
    <mergeCell ref="T333:U333"/>
    <mergeCell ref="W333:X333"/>
    <mergeCell ref="Z333:AA333"/>
    <mergeCell ref="E332:F332"/>
    <mergeCell ref="H332:I332"/>
    <mergeCell ref="K332:L332"/>
    <mergeCell ref="N332:O332"/>
    <mergeCell ref="Q332:R332"/>
    <mergeCell ref="E400:F400"/>
    <mergeCell ref="H400:I400"/>
    <mergeCell ref="K400:L400"/>
    <mergeCell ref="N400:O400"/>
    <mergeCell ref="Q400:R400"/>
    <mergeCell ref="T400:U400"/>
    <mergeCell ref="W400:X400"/>
    <mergeCell ref="Z400:AA400"/>
    <mergeCell ref="E399:F399"/>
    <mergeCell ref="H399:I399"/>
    <mergeCell ref="K399:L399"/>
    <mergeCell ref="N399:O399"/>
    <mergeCell ref="Q399:R399"/>
    <mergeCell ref="T399:U399"/>
    <mergeCell ref="W399:X399"/>
    <mergeCell ref="Z399:AA399"/>
    <mergeCell ref="W405:X405"/>
    <mergeCell ref="Z405:AA405"/>
    <mergeCell ref="W401:X401"/>
    <mergeCell ref="Z401:AA401"/>
    <mergeCell ref="E405:F405"/>
    <mergeCell ref="H405:I405"/>
    <mergeCell ref="K405:L405"/>
    <mergeCell ref="N405:O405"/>
    <mergeCell ref="Q405:R405"/>
    <mergeCell ref="T405:U405"/>
    <mergeCell ref="E402:F402"/>
    <mergeCell ref="H402:I402"/>
    <mergeCell ref="K402:L402"/>
    <mergeCell ref="N402:O402"/>
    <mergeCell ref="Q402:R402"/>
    <mergeCell ref="T402:U402"/>
    <mergeCell ref="W402:X402"/>
    <mergeCell ref="Z402:AA402"/>
    <mergeCell ref="E401:F401"/>
    <mergeCell ref="H401:I401"/>
    <mergeCell ref="K401:L401"/>
    <mergeCell ref="N401:O401"/>
    <mergeCell ref="Q401:R401"/>
    <mergeCell ref="T401:U401"/>
    <mergeCell ref="E398:F398"/>
    <mergeCell ref="H398:I398"/>
    <mergeCell ref="K398:L398"/>
    <mergeCell ref="N398:O398"/>
    <mergeCell ref="E397:G397"/>
    <mergeCell ref="H397:J397"/>
    <mergeCell ref="W334:X334"/>
    <mergeCell ref="Z334:AA334"/>
    <mergeCell ref="K328:M328"/>
    <mergeCell ref="N328:P328"/>
    <mergeCell ref="E329:F329"/>
    <mergeCell ref="H329:I329"/>
    <mergeCell ref="K329:L329"/>
    <mergeCell ref="N329:O329"/>
    <mergeCell ref="K397:M397"/>
    <mergeCell ref="N397:P397"/>
    <mergeCell ref="E334:F334"/>
    <mergeCell ref="H334:I334"/>
    <mergeCell ref="K334:L334"/>
    <mergeCell ref="Q334:R334"/>
    <mergeCell ref="T334:U334"/>
    <mergeCell ref="N334:O334"/>
    <mergeCell ref="T332:U332"/>
    <mergeCell ref="W332:X332"/>
    <mergeCell ref="W469:X469"/>
    <mergeCell ref="Z469:AA469"/>
    <mergeCell ref="E468:F468"/>
    <mergeCell ref="H468:I468"/>
    <mergeCell ref="K468:L468"/>
    <mergeCell ref="N468:O468"/>
    <mergeCell ref="N467:P467"/>
    <mergeCell ref="E469:F469"/>
    <mergeCell ref="N469:O469"/>
    <mergeCell ref="Q469:R469"/>
    <mergeCell ref="W472:X472"/>
    <mergeCell ref="Z472:AA472"/>
    <mergeCell ref="N474:O474"/>
    <mergeCell ref="Q474:R474"/>
    <mergeCell ref="W474:X474"/>
    <mergeCell ref="Z474:AA474"/>
    <mergeCell ref="W470:X470"/>
    <mergeCell ref="Z470:AA470"/>
    <mergeCell ref="N471:O471"/>
    <mergeCell ref="Q471:R471"/>
    <mergeCell ref="W471:X471"/>
    <mergeCell ref="Z471:AA471"/>
    <mergeCell ref="N470:O470"/>
    <mergeCell ref="Q470:R470"/>
    <mergeCell ref="Q472:R472"/>
    <mergeCell ref="K403:L403"/>
    <mergeCell ref="K404:L404"/>
    <mergeCell ref="T469:U469"/>
    <mergeCell ref="H403:I403"/>
    <mergeCell ref="H404:I404"/>
    <mergeCell ref="N403:O403"/>
    <mergeCell ref="N404:O404"/>
    <mergeCell ref="E403:F403"/>
    <mergeCell ref="E404:F404"/>
    <mergeCell ref="H469:I469"/>
    <mergeCell ref="K469:L469"/>
    <mergeCell ref="H467:J467"/>
    <mergeCell ref="K467:M467"/>
    <mergeCell ref="E467:G467"/>
    <mergeCell ref="K474:L474"/>
    <mergeCell ref="D532:P532"/>
    <mergeCell ref="H472:I472"/>
    <mergeCell ref="E474:F474"/>
    <mergeCell ref="E472:F472"/>
    <mergeCell ref="E471:F471"/>
    <mergeCell ref="H471:I471"/>
    <mergeCell ref="K471:L471"/>
    <mergeCell ref="E470:F470"/>
    <mergeCell ref="H470:I470"/>
    <mergeCell ref="K470:L470"/>
    <mergeCell ref="T535:U535"/>
    <mergeCell ref="W535:X535"/>
    <mergeCell ref="Z535:AA535"/>
    <mergeCell ref="E536:F536"/>
    <mergeCell ref="H536:I536"/>
    <mergeCell ref="K536:L536"/>
    <mergeCell ref="N536:O536"/>
    <mergeCell ref="Q536:R536"/>
    <mergeCell ref="T536:U536"/>
    <mergeCell ref="W536:X536"/>
    <mergeCell ref="Z536:AA536"/>
    <mergeCell ref="E535:F535"/>
    <mergeCell ref="H535:I535"/>
    <mergeCell ref="K535:L535"/>
    <mergeCell ref="N535:O535"/>
    <mergeCell ref="Q535:R535"/>
    <mergeCell ref="T537:U537"/>
    <mergeCell ref="W537:X537"/>
    <mergeCell ref="Z537:AA537"/>
    <mergeCell ref="E538:F538"/>
    <mergeCell ref="H538:I538"/>
    <mergeCell ref="K538:L538"/>
    <mergeCell ref="N538:O538"/>
    <mergeCell ref="Q538:R538"/>
    <mergeCell ref="T538:U538"/>
    <mergeCell ref="W538:X538"/>
    <mergeCell ref="Z538:AA538"/>
    <mergeCell ref="E537:F537"/>
    <mergeCell ref="H537:I537"/>
    <mergeCell ref="K537:L537"/>
    <mergeCell ref="N537:O537"/>
    <mergeCell ref="Q537:R537"/>
    <mergeCell ref="T539:U539"/>
    <mergeCell ref="W539:X539"/>
    <mergeCell ref="Z539:AA539"/>
    <mergeCell ref="E539:F539"/>
    <mergeCell ref="H539:I539"/>
    <mergeCell ref="K539:L539"/>
    <mergeCell ref="E603:F603"/>
    <mergeCell ref="H603:I603"/>
    <mergeCell ref="K603:L603"/>
    <mergeCell ref="N602:P602"/>
    <mergeCell ref="N603:O603"/>
    <mergeCell ref="D601:P601"/>
    <mergeCell ref="K602:M602"/>
    <mergeCell ref="T604:U604"/>
    <mergeCell ref="W604:X604"/>
    <mergeCell ref="Z604:AA604"/>
    <mergeCell ref="E605:F605"/>
    <mergeCell ref="H605:I605"/>
    <mergeCell ref="K605:L605"/>
    <mergeCell ref="N605:O605"/>
    <mergeCell ref="Q605:R605"/>
    <mergeCell ref="T605:U605"/>
    <mergeCell ref="W605:X605"/>
    <mergeCell ref="Z605:AA605"/>
    <mergeCell ref="E604:F604"/>
    <mergeCell ref="H604:I604"/>
    <mergeCell ref="K604:L604"/>
    <mergeCell ref="N604:O604"/>
    <mergeCell ref="Q604:R604"/>
    <mergeCell ref="K22:L22"/>
    <mergeCell ref="N22:O22"/>
    <mergeCell ref="E21:F21"/>
    <mergeCell ref="H21:I21"/>
    <mergeCell ref="K21:L21"/>
    <mergeCell ref="N21:O21"/>
    <mergeCell ref="E20:F20"/>
    <mergeCell ref="H20:I20"/>
    <mergeCell ref="K20:L20"/>
    <mergeCell ref="N20:O20"/>
    <mergeCell ref="E22:F22"/>
    <mergeCell ref="H22:I22"/>
    <mergeCell ref="K19:L19"/>
    <mergeCell ref="N19:O19"/>
    <mergeCell ref="D15:P15"/>
    <mergeCell ref="D16:D17"/>
    <mergeCell ref="E16:G16"/>
    <mergeCell ref="H16:J16"/>
    <mergeCell ref="K16:M16"/>
    <mergeCell ref="N16:P16"/>
    <mergeCell ref="E17:F17"/>
    <mergeCell ref="H17:I17"/>
    <mergeCell ref="K17:L17"/>
    <mergeCell ref="N17:O17"/>
    <mergeCell ref="D4:P4"/>
    <mergeCell ref="H12:I12"/>
    <mergeCell ref="K12:L12"/>
    <mergeCell ref="N12:O12"/>
    <mergeCell ref="E12:F12"/>
    <mergeCell ref="H7:I7"/>
    <mergeCell ref="K7:L7"/>
    <mergeCell ref="E10:F10"/>
    <mergeCell ref="E8:F8"/>
    <mergeCell ref="E9:F9"/>
    <mergeCell ref="E7:F7"/>
    <mergeCell ref="N7:O7"/>
    <mergeCell ref="E11:F11"/>
    <mergeCell ref="H11:I11"/>
    <mergeCell ref="K11:L11"/>
    <mergeCell ref="N11:O11"/>
    <mergeCell ref="D5:D6"/>
    <mergeCell ref="H10:I10"/>
    <mergeCell ref="K10:L10"/>
    <mergeCell ref="N10:O10"/>
    <mergeCell ref="E5:G5"/>
    <mergeCell ref="H5:J5"/>
    <mergeCell ref="K5:M5"/>
    <mergeCell ref="N5:P5"/>
    <mergeCell ref="E110:F110"/>
    <mergeCell ref="E111:F111"/>
    <mergeCell ref="D107:P107"/>
    <mergeCell ref="D108:D109"/>
    <mergeCell ref="E108:G108"/>
    <mergeCell ref="E109:F109"/>
    <mergeCell ref="V108:X108"/>
    <mergeCell ref="V109:W109"/>
    <mergeCell ref="E6:F6"/>
    <mergeCell ref="H6:I6"/>
    <mergeCell ref="K6:L6"/>
    <mergeCell ref="N6:O6"/>
    <mergeCell ref="H8:I8"/>
    <mergeCell ref="K8:L8"/>
    <mergeCell ref="N8:O8"/>
    <mergeCell ref="H9:I9"/>
    <mergeCell ref="K9:L9"/>
    <mergeCell ref="N9:O9"/>
    <mergeCell ref="E18:F18"/>
    <mergeCell ref="H18:I18"/>
    <mergeCell ref="K18:L18"/>
    <mergeCell ref="N18:O18"/>
    <mergeCell ref="E19:F19"/>
    <mergeCell ref="H19:I19"/>
    <mergeCell ref="H118:I118"/>
    <mergeCell ref="K108:M108"/>
    <mergeCell ref="N108:P108"/>
    <mergeCell ref="K109:L109"/>
    <mergeCell ref="N109:O109"/>
    <mergeCell ref="K110:L110"/>
    <mergeCell ref="K111:L111"/>
    <mergeCell ref="K112:L112"/>
    <mergeCell ref="K113:L113"/>
    <mergeCell ref="K114:L114"/>
    <mergeCell ref="K115:L115"/>
    <mergeCell ref="K117:L117"/>
    <mergeCell ref="K118:L118"/>
    <mergeCell ref="N113:O113"/>
    <mergeCell ref="H108:J108"/>
    <mergeCell ref="H109:I109"/>
    <mergeCell ref="E118:F118"/>
    <mergeCell ref="E112:F112"/>
    <mergeCell ref="E116:F116"/>
    <mergeCell ref="E113:F113"/>
    <mergeCell ref="E115:F115"/>
    <mergeCell ref="N118:O118"/>
    <mergeCell ref="N110:O110"/>
    <mergeCell ref="N111:O111"/>
    <mergeCell ref="N112:O112"/>
    <mergeCell ref="E117:F117"/>
    <mergeCell ref="H116:I116"/>
    <mergeCell ref="E114:F114"/>
    <mergeCell ref="H110:I110"/>
    <mergeCell ref="H111:I111"/>
    <mergeCell ref="H112:I112"/>
    <mergeCell ref="H113:I113"/>
    <mergeCell ref="H114:I114"/>
    <mergeCell ref="H115:I115"/>
    <mergeCell ref="H117:I117"/>
    <mergeCell ref="K116:L116"/>
    <mergeCell ref="N116:O116"/>
    <mergeCell ref="N114:O114"/>
    <mergeCell ref="N115:O115"/>
    <mergeCell ref="N117:O117"/>
    <mergeCell ref="AF4:AR4"/>
    <mergeCell ref="AF5:AF6"/>
    <mergeCell ref="AG5:AI5"/>
    <mergeCell ref="AJ5:AL5"/>
    <mergeCell ref="AM5:AO5"/>
    <mergeCell ref="AP5:AR5"/>
    <mergeCell ref="AG6:AH6"/>
    <mergeCell ref="AJ6:AK6"/>
    <mergeCell ref="AM6:AN6"/>
    <mergeCell ref="AP6:AQ6"/>
    <mergeCell ref="AG7:AH7"/>
    <mergeCell ref="AJ7:AK7"/>
    <mergeCell ref="AM7:AN7"/>
    <mergeCell ref="AP7:AQ7"/>
    <mergeCell ref="AG8:AH8"/>
    <mergeCell ref="AJ8:AK8"/>
    <mergeCell ref="AM8:AN8"/>
    <mergeCell ref="AP8:AQ8"/>
    <mergeCell ref="AG9:AH9"/>
    <mergeCell ref="AJ9:AK9"/>
    <mergeCell ref="AM9:AN9"/>
    <mergeCell ref="AP9:AQ9"/>
    <mergeCell ref="AG10:AH10"/>
    <mergeCell ref="AJ10:AK10"/>
    <mergeCell ref="AM10:AN10"/>
    <mergeCell ref="AP10:AQ10"/>
    <mergeCell ref="AG11:AH11"/>
    <mergeCell ref="AJ11:AK11"/>
    <mergeCell ref="AM11:AN11"/>
    <mergeCell ref="AP11:AQ11"/>
    <mergeCell ref="AG12:AH12"/>
    <mergeCell ref="AJ12:AK12"/>
    <mergeCell ref="AM12:AN12"/>
    <mergeCell ref="AP12:AQ12"/>
    <mergeCell ref="AF15:AR15"/>
    <mergeCell ref="AF16:AF17"/>
    <mergeCell ref="AG16:AI16"/>
    <mergeCell ref="AJ16:AL16"/>
    <mergeCell ref="AM16:AO16"/>
    <mergeCell ref="AP16:AR16"/>
    <mergeCell ref="AG17:AH17"/>
    <mergeCell ref="AJ17:AK17"/>
    <mergeCell ref="AM17:AN17"/>
    <mergeCell ref="AP17:AQ17"/>
    <mergeCell ref="AG18:AH18"/>
    <mergeCell ref="AJ18:AK18"/>
    <mergeCell ref="AM18:AN18"/>
    <mergeCell ref="AP18:AQ18"/>
    <mergeCell ref="AG19:AH19"/>
    <mergeCell ref="AJ19:AK19"/>
    <mergeCell ref="AM19:AN19"/>
    <mergeCell ref="AP19:AQ19"/>
    <mergeCell ref="AG20:AH20"/>
    <mergeCell ref="AJ20:AK20"/>
    <mergeCell ref="AM20:AN20"/>
    <mergeCell ref="AP20:AQ20"/>
    <mergeCell ref="AG21:AH21"/>
    <mergeCell ref="AJ21:AK21"/>
    <mergeCell ref="AM21:AN21"/>
    <mergeCell ref="AP21:AQ21"/>
    <mergeCell ref="AG22:AH22"/>
    <mergeCell ref="AJ22:AK22"/>
    <mergeCell ref="AM22:AN22"/>
    <mergeCell ref="AP22:AQ22"/>
    <mergeCell ref="AF107:AR107"/>
    <mergeCell ref="AF108:AF109"/>
    <mergeCell ref="AG108:AI108"/>
    <mergeCell ref="AJ108:AL108"/>
    <mergeCell ref="AM108:AO108"/>
    <mergeCell ref="AP108:AR108"/>
    <mergeCell ref="AG109:AH109"/>
    <mergeCell ref="AJ109:AK109"/>
    <mergeCell ref="AM109:AN109"/>
    <mergeCell ref="AP109:AQ109"/>
    <mergeCell ref="AG110:AH110"/>
    <mergeCell ref="AJ110:AK110"/>
    <mergeCell ref="AM110:AN110"/>
    <mergeCell ref="AP110:AQ110"/>
    <mergeCell ref="AG111:AH111"/>
    <mergeCell ref="AJ111:AK111"/>
    <mergeCell ref="AM111:AN111"/>
    <mergeCell ref="AP111:AQ111"/>
    <mergeCell ref="AG112:AH112"/>
    <mergeCell ref="AJ112:AK112"/>
    <mergeCell ref="AM112:AN112"/>
    <mergeCell ref="AP112:AQ112"/>
    <mergeCell ref="AJ113:AK113"/>
    <mergeCell ref="AM113:AN113"/>
    <mergeCell ref="AP113:AQ113"/>
    <mergeCell ref="AG114:AH114"/>
    <mergeCell ref="AJ114:AK114"/>
    <mergeCell ref="AM114:AN114"/>
    <mergeCell ref="AP114:AQ114"/>
    <mergeCell ref="AG115:AH115"/>
    <mergeCell ref="AJ115:AK115"/>
    <mergeCell ref="AM115:AN115"/>
    <mergeCell ref="AP115:AQ115"/>
    <mergeCell ref="AG113:AH113"/>
    <mergeCell ref="AJ118:AK118"/>
    <mergeCell ref="AM118:AN118"/>
    <mergeCell ref="AP118:AQ118"/>
    <mergeCell ref="AF182:AR182"/>
    <mergeCell ref="AG183:AI183"/>
    <mergeCell ref="AJ183:AL183"/>
    <mergeCell ref="AM183:AO183"/>
    <mergeCell ref="AP183:AR183"/>
    <mergeCell ref="AG116:AH116"/>
    <mergeCell ref="AJ116:AK116"/>
    <mergeCell ref="AM116:AN116"/>
    <mergeCell ref="AP116:AQ116"/>
    <mergeCell ref="AG117:AH117"/>
    <mergeCell ref="AJ117:AK117"/>
    <mergeCell ref="AM117:AN117"/>
    <mergeCell ref="AP117:AQ117"/>
    <mergeCell ref="AG118:AH118"/>
    <mergeCell ref="AJ184:AK184"/>
    <mergeCell ref="AM184:AN184"/>
    <mergeCell ref="AP184:AQ184"/>
    <mergeCell ref="AG185:AH185"/>
    <mergeCell ref="AJ185:AK185"/>
    <mergeCell ref="AM185:AN185"/>
    <mergeCell ref="AP185:AQ185"/>
    <mergeCell ref="AG186:AH186"/>
    <mergeCell ref="AJ186:AK186"/>
    <mergeCell ref="AM186:AN186"/>
    <mergeCell ref="AP186:AQ186"/>
    <mergeCell ref="AG184:AH184"/>
    <mergeCell ref="AJ187:AK187"/>
    <mergeCell ref="AM187:AN187"/>
    <mergeCell ref="AP187:AQ187"/>
    <mergeCell ref="AG188:AH188"/>
    <mergeCell ref="AJ188:AK188"/>
    <mergeCell ref="AM188:AN188"/>
    <mergeCell ref="AP188:AQ188"/>
    <mergeCell ref="AG189:AH189"/>
    <mergeCell ref="AJ189:AK189"/>
    <mergeCell ref="AM189:AN189"/>
    <mergeCell ref="AP189:AQ189"/>
    <mergeCell ref="AG187:AH187"/>
    <mergeCell ref="AJ193:AK193"/>
    <mergeCell ref="AM193:AN193"/>
    <mergeCell ref="AP193:AQ193"/>
    <mergeCell ref="AF254:AR254"/>
    <mergeCell ref="AG255:AI255"/>
    <mergeCell ref="AJ255:AL255"/>
    <mergeCell ref="AM255:AO255"/>
    <mergeCell ref="AP255:AR255"/>
    <mergeCell ref="AG190:AH190"/>
    <mergeCell ref="AJ190:AK190"/>
    <mergeCell ref="AM190:AN190"/>
    <mergeCell ref="AP190:AQ190"/>
    <mergeCell ref="AG191:AH191"/>
    <mergeCell ref="AJ191:AK191"/>
    <mergeCell ref="AM191:AN191"/>
    <mergeCell ref="AP191:AQ191"/>
    <mergeCell ref="AG192:AH192"/>
    <mergeCell ref="AJ192:AK192"/>
    <mergeCell ref="AM192:AN192"/>
    <mergeCell ref="AP192:AQ192"/>
    <mergeCell ref="AG193:AH193"/>
    <mergeCell ref="AJ256:AK256"/>
    <mergeCell ref="AM256:AN256"/>
    <mergeCell ref="AP256:AQ256"/>
    <mergeCell ref="AG257:AH257"/>
    <mergeCell ref="AJ257:AK257"/>
    <mergeCell ref="AM257:AN257"/>
    <mergeCell ref="AP257:AQ257"/>
    <mergeCell ref="AG258:AH258"/>
    <mergeCell ref="AJ258:AK258"/>
    <mergeCell ref="AM258:AN258"/>
    <mergeCell ref="AP258:AQ258"/>
    <mergeCell ref="AG256:AH256"/>
    <mergeCell ref="AM266:AN266"/>
    <mergeCell ref="AP266:AQ266"/>
    <mergeCell ref="AJ259:AK259"/>
    <mergeCell ref="AM259:AN259"/>
    <mergeCell ref="AP259:AQ259"/>
    <mergeCell ref="AG260:AH260"/>
    <mergeCell ref="AJ260:AK260"/>
    <mergeCell ref="AM260:AN260"/>
    <mergeCell ref="AP260:AQ260"/>
    <mergeCell ref="AG261:AH261"/>
    <mergeCell ref="AJ261:AK261"/>
    <mergeCell ref="AM261:AN261"/>
    <mergeCell ref="AP261:AQ261"/>
    <mergeCell ref="AG259:AH259"/>
    <mergeCell ref="AM334:AN334"/>
    <mergeCell ref="AP334:AQ334"/>
    <mergeCell ref="AJ398:AK398"/>
    <mergeCell ref="AM398:AN398"/>
    <mergeCell ref="AG328:AI328"/>
    <mergeCell ref="AJ328:AL328"/>
    <mergeCell ref="AM328:AO328"/>
    <mergeCell ref="AP328:AR328"/>
    <mergeCell ref="AG262:AH262"/>
    <mergeCell ref="AJ262:AK262"/>
    <mergeCell ref="AM262:AN262"/>
    <mergeCell ref="AP262:AQ262"/>
    <mergeCell ref="AG264:AH264"/>
    <mergeCell ref="AJ264:AK264"/>
    <mergeCell ref="AM264:AN264"/>
    <mergeCell ref="AP264:AQ264"/>
    <mergeCell ref="AG265:AH265"/>
    <mergeCell ref="AJ265:AK265"/>
    <mergeCell ref="AM265:AN265"/>
    <mergeCell ref="AP265:AQ265"/>
    <mergeCell ref="AJ263:AK263"/>
    <mergeCell ref="AM263:AN263"/>
    <mergeCell ref="AP263:AQ263"/>
    <mergeCell ref="AJ266:AK266"/>
    <mergeCell ref="AP399:AQ399"/>
    <mergeCell ref="AG400:AH400"/>
    <mergeCell ref="AJ400:AK400"/>
    <mergeCell ref="AM400:AN400"/>
    <mergeCell ref="AP400:AQ400"/>
    <mergeCell ref="AG401:AH401"/>
    <mergeCell ref="AJ401:AK401"/>
    <mergeCell ref="AM401:AN401"/>
    <mergeCell ref="AP401:AQ401"/>
    <mergeCell ref="AJ399:AK399"/>
    <mergeCell ref="AM399:AN399"/>
    <mergeCell ref="AP405:AQ405"/>
    <mergeCell ref="AF466:AR466"/>
    <mergeCell ref="AG467:AI467"/>
    <mergeCell ref="AJ467:AL467"/>
    <mergeCell ref="AM467:AO467"/>
    <mergeCell ref="AP467:AR467"/>
    <mergeCell ref="AG402:AH402"/>
    <mergeCell ref="AJ402:AK402"/>
    <mergeCell ref="AM402:AN402"/>
    <mergeCell ref="AP402:AQ402"/>
    <mergeCell ref="AG403:AH403"/>
    <mergeCell ref="AJ403:AK403"/>
    <mergeCell ref="AM403:AN403"/>
    <mergeCell ref="AP403:AQ403"/>
    <mergeCell ref="AG404:AH404"/>
    <mergeCell ref="AJ404:AK404"/>
    <mergeCell ref="AM404:AN404"/>
    <mergeCell ref="AP404:AQ404"/>
    <mergeCell ref="AJ405:AK405"/>
    <mergeCell ref="AM405:AN405"/>
    <mergeCell ref="AP468:AQ468"/>
    <mergeCell ref="AG469:AH469"/>
    <mergeCell ref="AJ469:AK469"/>
    <mergeCell ref="AM469:AN469"/>
    <mergeCell ref="AP469:AQ469"/>
    <mergeCell ref="AG470:AH470"/>
    <mergeCell ref="AJ470:AK470"/>
    <mergeCell ref="AM470:AN470"/>
    <mergeCell ref="AP470:AQ470"/>
    <mergeCell ref="AJ468:AK468"/>
    <mergeCell ref="AM468:AN468"/>
    <mergeCell ref="AP474:AQ474"/>
    <mergeCell ref="AF532:AR532"/>
    <mergeCell ref="AG533:AI533"/>
    <mergeCell ref="AJ533:AL533"/>
    <mergeCell ref="AM533:AO533"/>
    <mergeCell ref="AP533:AR533"/>
    <mergeCell ref="AG471:AH471"/>
    <mergeCell ref="AJ471:AK471"/>
    <mergeCell ref="AM471:AN471"/>
    <mergeCell ref="AP471:AQ471"/>
    <mergeCell ref="AG472:AH472"/>
    <mergeCell ref="AJ472:AK472"/>
    <mergeCell ref="AM472:AN472"/>
    <mergeCell ref="AP472:AQ472"/>
    <mergeCell ref="AG473:AH473"/>
    <mergeCell ref="AJ473:AK473"/>
    <mergeCell ref="AM473:AN473"/>
    <mergeCell ref="AP473:AQ473"/>
    <mergeCell ref="AJ474:AK474"/>
    <mergeCell ref="AM474:AN474"/>
    <mergeCell ref="AP534:AQ534"/>
    <mergeCell ref="AG535:AH535"/>
    <mergeCell ref="AJ535:AK535"/>
    <mergeCell ref="AM535:AN535"/>
    <mergeCell ref="AP535:AQ535"/>
    <mergeCell ref="AG536:AH536"/>
    <mergeCell ref="AJ536:AK536"/>
    <mergeCell ref="AM536:AN536"/>
    <mergeCell ref="AP536:AQ536"/>
    <mergeCell ref="AJ534:AK534"/>
    <mergeCell ref="AM534:AN534"/>
    <mergeCell ref="AJ606:AK606"/>
    <mergeCell ref="AM606:AN606"/>
    <mergeCell ref="AP606:AQ606"/>
    <mergeCell ref="AM538:AN538"/>
    <mergeCell ref="AP538:AQ538"/>
    <mergeCell ref="AG539:AH539"/>
    <mergeCell ref="AJ539:AK539"/>
    <mergeCell ref="AM539:AN539"/>
    <mergeCell ref="AP539:AQ539"/>
    <mergeCell ref="AP537:AQ537"/>
    <mergeCell ref="AG538:AH538"/>
    <mergeCell ref="AJ538:AK538"/>
    <mergeCell ref="AP604:AQ604"/>
    <mergeCell ref="AG605:AH605"/>
    <mergeCell ref="AJ605:AK605"/>
    <mergeCell ref="AM605:AN605"/>
    <mergeCell ref="AP605:AQ605"/>
    <mergeCell ref="AJ604:AK604"/>
    <mergeCell ref="AM604:AN604"/>
    <mergeCell ref="AF601:AR601"/>
    <mergeCell ref="AG602:AI602"/>
    <mergeCell ref="AJ602:AL602"/>
    <mergeCell ref="AM602:AO602"/>
    <mergeCell ref="AP602:AR602"/>
    <mergeCell ref="AG603:AH603"/>
    <mergeCell ref="AJ603:AK603"/>
    <mergeCell ref="AM603:AN603"/>
    <mergeCell ref="AP603:AQ603"/>
    <mergeCell ref="AJ537:AK537"/>
    <mergeCell ref="AM537:AN537"/>
    <mergeCell ref="AF396:AR396"/>
    <mergeCell ref="AG397:AI397"/>
    <mergeCell ref="AJ397:AL397"/>
    <mergeCell ref="AM397:AO397"/>
    <mergeCell ref="AP397:AR397"/>
    <mergeCell ref="AG398:AH398"/>
    <mergeCell ref="AP329:AQ329"/>
    <mergeCell ref="AJ330:AK330"/>
    <mergeCell ref="AM330:AN330"/>
    <mergeCell ref="AP330:AQ330"/>
    <mergeCell ref="AJ331:AK331"/>
    <mergeCell ref="AM331:AN331"/>
    <mergeCell ref="AP331:AQ331"/>
    <mergeCell ref="AP398:AQ398"/>
    <mergeCell ref="AG332:AH332"/>
    <mergeCell ref="AJ332:AK332"/>
    <mergeCell ref="AM332:AN332"/>
    <mergeCell ref="AP332:AQ332"/>
    <mergeCell ref="AG333:AH333"/>
    <mergeCell ref="AJ333:AK333"/>
    <mergeCell ref="AM333:AN333"/>
    <mergeCell ref="AP333:AQ333"/>
    <mergeCell ref="AG334:AH334"/>
    <mergeCell ref="AJ334:AK334"/>
    <mergeCell ref="Q194:R194"/>
    <mergeCell ref="Q195:R195"/>
    <mergeCell ref="Q197:R197"/>
    <mergeCell ref="Q198:R198"/>
    <mergeCell ref="Q199:R199"/>
    <mergeCell ref="AG604:AH604"/>
    <mergeCell ref="AG537:AH537"/>
    <mergeCell ref="AG606:AH606"/>
    <mergeCell ref="AG534:AH534"/>
    <mergeCell ref="AG474:AH474"/>
    <mergeCell ref="AG468:AH468"/>
    <mergeCell ref="T606:U606"/>
    <mergeCell ref="W606:X606"/>
    <mergeCell ref="Z606:AA606"/>
    <mergeCell ref="AG263:AH263"/>
    <mergeCell ref="AG266:AH266"/>
    <mergeCell ref="AG330:AH330"/>
    <mergeCell ref="AG331:AH331"/>
    <mergeCell ref="AF327:AR327"/>
    <mergeCell ref="AG329:AH329"/>
    <mergeCell ref="AJ329:AK329"/>
    <mergeCell ref="AM329:AN329"/>
    <mergeCell ref="AG405:AH405"/>
    <mergeCell ref="AG399:AH399"/>
    <mergeCell ref="E606:F606"/>
    <mergeCell ref="H606:I606"/>
    <mergeCell ref="K606:L606"/>
    <mergeCell ref="N606:O606"/>
    <mergeCell ref="Q606:R606"/>
    <mergeCell ref="E602:G602"/>
    <mergeCell ref="H602:J602"/>
    <mergeCell ref="E263:F263"/>
    <mergeCell ref="H263:I263"/>
    <mergeCell ref="K263:L263"/>
    <mergeCell ref="N263:O263"/>
    <mergeCell ref="N539:O539"/>
    <mergeCell ref="Q539:R539"/>
    <mergeCell ref="E533:G533"/>
    <mergeCell ref="H533:J533"/>
    <mergeCell ref="K533:M533"/>
    <mergeCell ref="N533:P533"/>
    <mergeCell ref="E534:F534"/>
    <mergeCell ref="H534:I534"/>
    <mergeCell ref="K534:L534"/>
    <mergeCell ref="N534:O534"/>
    <mergeCell ref="K472:L472"/>
    <mergeCell ref="N472:O472"/>
    <mergeCell ref="H474:I474"/>
  </mergeCells>
  <conditionalFormatting sqref="E399:F404">
    <cfRule type="cellIs" dxfId="31" priority="58" operator="equal">
      <formula>0</formula>
    </cfRule>
  </conditionalFormatting>
  <conditionalFormatting sqref="E469:F469">
    <cfRule type="cellIs" dxfId="30" priority="57" operator="equal">
      <formula>0</formula>
    </cfRule>
  </conditionalFormatting>
  <conditionalFormatting sqref="E257:P266">
    <cfRule type="cellIs" dxfId="29" priority="60" operator="equal">
      <formula>0</formula>
    </cfRule>
  </conditionalFormatting>
  <conditionalFormatting sqref="E330:P330">
    <cfRule type="cellIs" dxfId="28" priority="59" operator="equal">
      <formula>0</formula>
    </cfRule>
  </conditionalFormatting>
  <conditionalFormatting sqref="AG399:AH404">
    <cfRule type="cellIs" dxfId="27" priority="42" operator="equal">
      <formula>0</formula>
    </cfRule>
  </conditionalFormatting>
  <conditionalFormatting sqref="AG469:AH469">
    <cfRule type="cellIs" dxfId="26" priority="45" operator="equal">
      <formula>0</formula>
    </cfRule>
  </conditionalFormatting>
  <conditionalFormatting sqref="AG257:AR266">
    <cfRule type="cellIs" dxfId="25" priority="1" operator="equal">
      <formula>0</formula>
    </cfRule>
  </conditionalFormatting>
  <conditionalFormatting sqref="AG330:AR330">
    <cfRule type="cellIs" dxfId="24" priority="4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0"/>
  </sheetPr>
  <dimension ref="A1:BU193"/>
  <sheetViews>
    <sheetView topLeftCell="C1" zoomScale="70" zoomScaleNormal="70" workbookViewId="0">
      <selection activeCell="C1" sqref="C1"/>
    </sheetView>
  </sheetViews>
  <sheetFormatPr defaultColWidth="7.77734375" defaultRowHeight="15" x14ac:dyDescent="0.25"/>
  <cols>
    <col min="1" max="1" width="7.109375" style="252" hidden="1" customWidth="1"/>
    <col min="2" max="2" width="6.77734375" style="255" hidden="1" customWidth="1"/>
    <col min="3" max="3" width="4.5546875" style="167" customWidth="1"/>
    <col min="4" max="4" width="38.88671875" style="334" customWidth="1"/>
    <col min="5" max="5" width="37.21875" style="168" customWidth="1"/>
    <col min="6" max="6" width="29.6640625" style="168" customWidth="1"/>
    <col min="7" max="7" width="30.88671875" style="168" customWidth="1"/>
    <col min="8" max="8" width="7.33203125" style="168" bestFit="1" customWidth="1"/>
    <col min="9" max="9" width="7.6640625" style="168" bestFit="1" customWidth="1"/>
    <col min="10" max="10" width="7.88671875" style="168" bestFit="1" customWidth="1"/>
    <col min="11" max="11" width="7.5546875" style="168" bestFit="1" customWidth="1"/>
    <col min="12" max="12" width="7.6640625" style="168" bestFit="1" customWidth="1"/>
    <col min="13" max="13" width="7.88671875" style="168" bestFit="1" customWidth="1"/>
    <col min="14" max="14" width="8.21875" style="168" bestFit="1" customWidth="1"/>
    <col min="15" max="15" width="7.88671875" style="168" bestFit="1" customWidth="1"/>
    <col min="16" max="26" width="8.109375" style="168" customWidth="1"/>
    <col min="27" max="28" width="8.21875" style="168" bestFit="1" customWidth="1"/>
    <col min="29" max="29" width="7.88671875" style="168" bestFit="1" customWidth="1"/>
    <col min="30" max="32" width="8.109375" style="168" bestFit="1" customWidth="1"/>
    <col min="33" max="33" width="8.77734375" style="168" bestFit="1" customWidth="1"/>
    <col min="34" max="34" width="9" style="168" bestFit="1" customWidth="1"/>
    <col min="35" max="36" width="9.5546875" style="168" bestFit="1" customWidth="1"/>
    <col min="37" max="37" width="9.21875" style="169" customWidth="1"/>
    <col min="38" max="38" width="8.21875" style="169" bestFit="1" customWidth="1"/>
    <col min="39" max="39" width="7.5546875" style="169" bestFit="1" customWidth="1"/>
    <col min="40" max="40" width="8.5546875" style="169" bestFit="1" customWidth="1"/>
    <col min="41" max="41" width="9.21875" style="169" customWidth="1"/>
    <col min="42" max="65" width="7.77734375" style="169" customWidth="1"/>
    <col min="66" max="66" width="4.6640625" style="1" customWidth="1"/>
    <col min="67" max="72" width="5.109375" style="1" bestFit="1" customWidth="1"/>
    <col min="73" max="74" width="4.6640625" style="1" bestFit="1" customWidth="1"/>
    <col min="75" max="75" width="6.6640625" style="1" bestFit="1" customWidth="1"/>
    <col min="76" max="77" width="7.33203125" style="1" bestFit="1" customWidth="1"/>
    <col min="78" max="95" width="7.33203125" style="1" customWidth="1"/>
    <col min="96" max="16384" width="7.77734375" style="1"/>
  </cols>
  <sheetData>
    <row r="1" spans="1:72" s="370" customFormat="1" ht="37.5" customHeight="1" x14ac:dyDescent="0.45">
      <c r="A1" s="631"/>
      <c r="B1" s="560"/>
      <c r="C1" s="366"/>
      <c r="D1" s="366" t="s">
        <v>259</v>
      </c>
      <c r="E1" s="366"/>
      <c r="F1" s="366"/>
      <c r="G1" s="367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</row>
    <row r="2" spans="1:72" s="371" customFormat="1" ht="23.25" customHeight="1" x14ac:dyDescent="0.25">
      <c r="A2" s="561"/>
      <c r="B2" s="561"/>
      <c r="C2" s="455"/>
      <c r="D2" s="528" t="s">
        <v>258</v>
      </c>
      <c r="E2" s="532"/>
      <c r="F2" s="455"/>
      <c r="G2" s="455"/>
      <c r="H2" s="455">
        <v>1990</v>
      </c>
      <c r="I2" s="455">
        <v>1991</v>
      </c>
      <c r="J2" s="455">
        <v>1992</v>
      </c>
      <c r="K2" s="455">
        <v>1993</v>
      </c>
      <c r="L2" s="455">
        <v>1994</v>
      </c>
      <c r="M2" s="455">
        <v>1995</v>
      </c>
      <c r="N2" s="455">
        <v>1996</v>
      </c>
      <c r="O2" s="455">
        <v>1997</v>
      </c>
      <c r="P2" s="455">
        <v>1998</v>
      </c>
      <c r="Q2" s="455">
        <v>1999</v>
      </c>
      <c r="R2" s="455">
        <v>2000</v>
      </c>
      <c r="S2" s="455">
        <v>2001</v>
      </c>
      <c r="T2" s="455">
        <v>2002</v>
      </c>
      <c r="U2" s="455">
        <v>2003</v>
      </c>
      <c r="V2" s="455">
        <v>2004</v>
      </c>
      <c r="W2" s="455">
        <v>2005</v>
      </c>
      <c r="X2" s="455">
        <v>2006</v>
      </c>
      <c r="Y2" s="455">
        <v>2007</v>
      </c>
      <c r="Z2" s="455">
        <v>2008</v>
      </c>
      <c r="AA2" s="455">
        <v>2009</v>
      </c>
      <c r="AB2" s="455">
        <v>2010</v>
      </c>
      <c r="AC2" s="455">
        <v>2011</v>
      </c>
      <c r="AD2" s="455">
        <v>2012</v>
      </c>
      <c r="AE2" s="455">
        <v>2013</v>
      </c>
      <c r="AF2" s="455">
        <v>2014</v>
      </c>
      <c r="AG2" s="455">
        <v>2015</v>
      </c>
      <c r="AH2" s="455">
        <v>2016</v>
      </c>
      <c r="AI2" s="455">
        <v>2017</v>
      </c>
      <c r="AJ2" s="455">
        <v>2018</v>
      </c>
      <c r="AK2" s="456">
        <v>2019</v>
      </c>
      <c r="AL2" s="552">
        <v>2020</v>
      </c>
      <c r="AM2" s="552">
        <v>2021</v>
      </c>
      <c r="AN2" s="552">
        <v>2022</v>
      </c>
      <c r="AO2" s="552">
        <v>2023</v>
      </c>
      <c r="AP2" s="552"/>
      <c r="AQ2" s="552"/>
      <c r="AR2" s="552"/>
      <c r="AS2" s="552"/>
      <c r="AT2" s="552"/>
      <c r="AU2" s="552"/>
      <c r="AV2" s="552"/>
    </row>
    <row r="3" spans="1:72" s="16" customFormat="1" ht="24" customHeight="1" x14ac:dyDescent="0.25">
      <c r="A3" s="248"/>
      <c r="B3" s="254" t="s">
        <v>56</v>
      </c>
      <c r="C3" s="619"/>
      <c r="D3" s="619" t="s">
        <v>159</v>
      </c>
      <c r="E3" s="619"/>
      <c r="F3" s="619"/>
      <c r="G3" s="619"/>
      <c r="H3" s="154"/>
      <c r="I3" s="16" t="s">
        <v>56</v>
      </c>
      <c r="J3" s="155"/>
      <c r="K3" s="156"/>
      <c r="L3" s="153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</row>
    <row r="4" spans="1:72" s="22" customFormat="1" ht="16.5" customHeight="1" x14ac:dyDescent="0.2">
      <c r="A4" s="631" t="s">
        <v>50</v>
      </c>
      <c r="B4" s="154" t="s">
        <v>56</v>
      </c>
      <c r="C4" s="580"/>
      <c r="D4" s="109" t="s">
        <v>3</v>
      </c>
      <c r="E4" s="109" t="s">
        <v>155</v>
      </c>
      <c r="F4" s="109"/>
      <c r="G4" s="175" t="s">
        <v>312</v>
      </c>
      <c r="H4" s="22">
        <v>1840.5551686966535</v>
      </c>
      <c r="I4" s="22">
        <v>1755.4148787772035</v>
      </c>
      <c r="J4" s="22">
        <v>1899.1712872886449</v>
      </c>
      <c r="K4" s="22">
        <v>2003.89682375082</v>
      </c>
      <c r="L4" s="22">
        <v>1952.7910408929704</v>
      </c>
      <c r="M4" s="22">
        <v>2057.5856778034463</v>
      </c>
      <c r="N4" s="22">
        <v>2113.048477118512</v>
      </c>
      <c r="O4" s="22">
        <v>2152.914682208168</v>
      </c>
      <c r="P4" s="22">
        <v>2146.5378495197851</v>
      </c>
      <c r="Q4" s="22">
        <v>2203.0052567984362</v>
      </c>
      <c r="R4" s="22">
        <v>2185.1878815289438</v>
      </c>
      <c r="S4" s="22">
        <v>2073.8860935439552</v>
      </c>
      <c r="T4" s="22">
        <v>2183.8050165791547</v>
      </c>
      <c r="U4" s="22">
        <v>2172.7569766938582</v>
      </c>
      <c r="V4" s="22">
        <v>2271.5946091639453</v>
      </c>
      <c r="W4" s="22">
        <v>2158.507969220916</v>
      </c>
      <c r="X4" s="22">
        <v>2221.7924615809688</v>
      </c>
      <c r="Y4" s="22">
        <v>2363.0881935152083</v>
      </c>
      <c r="Z4" s="22">
        <v>2234.9780023950384</v>
      </c>
      <c r="AA4" s="22">
        <v>2137.0823287033058</v>
      </c>
      <c r="AB4" s="22">
        <v>2026.8113312376122</v>
      </c>
      <c r="AC4" s="22">
        <v>1905.1407556197382</v>
      </c>
      <c r="AD4" s="22">
        <v>1855.9166363751167</v>
      </c>
      <c r="AE4" s="22">
        <v>1820.5677270076819</v>
      </c>
      <c r="AF4" s="22">
        <v>1808.9745887661516</v>
      </c>
      <c r="AG4" s="22">
        <v>1853.7495133570387</v>
      </c>
      <c r="AH4" s="22">
        <v>1828.9452521106725</v>
      </c>
      <c r="AI4" s="22">
        <v>1870.1471075383224</v>
      </c>
      <c r="AJ4" s="22">
        <v>1910.9986323750379</v>
      </c>
      <c r="AK4" s="22">
        <v>1853.7107133888876</v>
      </c>
      <c r="AL4" s="22">
        <v>1664.3095820293888</v>
      </c>
      <c r="AM4" s="22">
        <v>1750.3695972817532</v>
      </c>
      <c r="AN4" s="22">
        <v>1807.0476896202767</v>
      </c>
      <c r="AO4" s="22">
        <v>1774.4954056364502</v>
      </c>
      <c r="AP4" s="23"/>
      <c r="AQ4" s="23"/>
      <c r="AR4" s="23"/>
      <c r="AS4" s="612"/>
      <c r="AT4" s="139"/>
      <c r="AU4" s="139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</row>
    <row r="5" spans="1:72" s="22" customFormat="1" ht="16.5" customHeight="1" x14ac:dyDescent="0.2">
      <c r="A5" s="631" t="s">
        <v>51</v>
      </c>
      <c r="B5" s="154" t="s">
        <v>56</v>
      </c>
      <c r="C5" s="580" t="s">
        <v>56</v>
      </c>
      <c r="D5" s="109" t="s">
        <v>284</v>
      </c>
      <c r="E5" s="109" t="s">
        <v>270</v>
      </c>
      <c r="F5" s="109" t="s">
        <v>56</v>
      </c>
      <c r="G5" s="175" t="s">
        <v>312</v>
      </c>
      <c r="H5" s="22">
        <v>902.29627572202014</v>
      </c>
      <c r="I5" s="22">
        <v>790.62499373567334</v>
      </c>
      <c r="J5" s="22">
        <v>584.63198058025898</v>
      </c>
      <c r="K5" s="22">
        <v>551.26527903643978</v>
      </c>
      <c r="L5" s="22">
        <v>520.50474176472244</v>
      </c>
      <c r="M5" s="22">
        <v>552.64079941511272</v>
      </c>
      <c r="N5" s="22">
        <v>529.72546148905633</v>
      </c>
      <c r="O5" s="22">
        <v>648.61654596889502</v>
      </c>
      <c r="P5" s="22">
        <v>784.80043771201144</v>
      </c>
      <c r="Q5" s="22">
        <v>938.57299578122161</v>
      </c>
      <c r="R5" s="22">
        <v>991.36802649088008</v>
      </c>
      <c r="S5" s="22">
        <v>990.55747120291733</v>
      </c>
      <c r="T5" s="22">
        <v>978.49906012893234</v>
      </c>
      <c r="U5" s="22">
        <v>966.29300112552812</v>
      </c>
      <c r="V5" s="22">
        <v>974.33663166929648</v>
      </c>
      <c r="W5" s="22">
        <v>949.98326702797112</v>
      </c>
      <c r="X5" s="22">
        <v>1393.8791577967909</v>
      </c>
      <c r="Y5" s="22">
        <v>1537.9909607550308</v>
      </c>
      <c r="Z5" s="22">
        <v>2049.4231569942945</v>
      </c>
      <c r="AA5" s="22">
        <v>1865.6414318702191</v>
      </c>
      <c r="AB5" s="22">
        <v>1895.0529925437593</v>
      </c>
      <c r="AC5" s="22">
        <v>1825.3590858578004</v>
      </c>
      <c r="AD5" s="22">
        <v>1893.5974386787841</v>
      </c>
      <c r="AE5" s="22">
        <v>1941.944416862525</v>
      </c>
      <c r="AF5" s="22">
        <v>1916.582341830594</v>
      </c>
      <c r="AG5" s="22">
        <v>1965.1842685132474</v>
      </c>
      <c r="AH5" s="22">
        <v>1947.1998463928871</v>
      </c>
      <c r="AI5" s="22">
        <v>1993.5204775439943</v>
      </c>
      <c r="AJ5" s="22">
        <v>2034.6534605922982</v>
      </c>
      <c r="AK5" s="22">
        <v>1986.6200246875142</v>
      </c>
      <c r="AL5" s="22">
        <v>1958.1733971884757</v>
      </c>
      <c r="AM5" s="22">
        <v>1995.7372192381347</v>
      </c>
      <c r="AN5" s="22">
        <v>2016.1636262827835</v>
      </c>
      <c r="AO5" s="22">
        <v>1945.9962754246219</v>
      </c>
      <c r="AP5" s="23"/>
      <c r="AQ5" s="23"/>
      <c r="AR5" s="23"/>
      <c r="AS5" s="612"/>
      <c r="AT5" s="139"/>
      <c r="AU5" s="139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</row>
    <row r="6" spans="1:72" s="22" customFormat="1" ht="16.5" customHeight="1" x14ac:dyDescent="0.2">
      <c r="A6" s="631" t="s">
        <v>52</v>
      </c>
      <c r="B6" s="154" t="s">
        <v>56</v>
      </c>
      <c r="C6" s="580"/>
      <c r="D6" s="109" t="s">
        <v>2</v>
      </c>
      <c r="E6" s="109" t="s">
        <v>157</v>
      </c>
      <c r="F6" s="109"/>
      <c r="G6" s="175" t="s">
        <v>312</v>
      </c>
      <c r="H6" s="22">
        <v>757.26583613456091</v>
      </c>
      <c r="I6" s="22">
        <v>745.56651811389327</v>
      </c>
      <c r="J6" s="22">
        <v>732.29699880886517</v>
      </c>
      <c r="K6" s="22">
        <v>735.23896768959082</v>
      </c>
      <c r="L6" s="22">
        <v>743.303989988897</v>
      </c>
      <c r="M6" s="22">
        <v>725.73787812875787</v>
      </c>
      <c r="N6" s="22">
        <v>740.35312512021119</v>
      </c>
      <c r="O6" s="22">
        <v>733.74792508347105</v>
      </c>
      <c r="P6" s="22">
        <v>749.92218769675549</v>
      </c>
      <c r="Q6" s="22">
        <v>748.19315916597407</v>
      </c>
      <c r="R6" s="22">
        <v>732.62182097151128</v>
      </c>
      <c r="S6" s="22">
        <v>734.08199715724618</v>
      </c>
      <c r="T6" s="22">
        <v>718.27318132763492</v>
      </c>
      <c r="U6" s="22">
        <v>711.41008920103468</v>
      </c>
      <c r="V6" s="22">
        <v>707.78325762783004</v>
      </c>
      <c r="W6" s="22">
        <v>711.13298689212684</v>
      </c>
      <c r="X6" s="22">
        <v>738.21505271701574</v>
      </c>
      <c r="Y6" s="22">
        <v>755.14040435119284</v>
      </c>
      <c r="Z6" s="22">
        <v>770.84614180723759</v>
      </c>
      <c r="AA6" s="22">
        <v>759.82612374837686</v>
      </c>
      <c r="AB6" s="22">
        <v>748.93405050816432</v>
      </c>
      <c r="AC6" s="22">
        <v>746.42173972245234</v>
      </c>
      <c r="AD6" s="22">
        <v>739.03083173156972</v>
      </c>
      <c r="AE6" s="22">
        <v>730.37249673113286</v>
      </c>
      <c r="AF6" s="22">
        <v>771.36872666527131</v>
      </c>
      <c r="AG6" s="22">
        <v>762.36590004780226</v>
      </c>
      <c r="AH6" s="22">
        <v>761.43509414604023</v>
      </c>
      <c r="AI6" s="22">
        <v>763.8944545373156</v>
      </c>
      <c r="AJ6" s="22">
        <v>742.59364936108125</v>
      </c>
      <c r="AK6" s="22">
        <v>726.79672276905148</v>
      </c>
      <c r="AL6" s="22">
        <v>724.45092605517732</v>
      </c>
      <c r="AM6" s="22">
        <v>727.6080579756449</v>
      </c>
      <c r="AN6" s="22">
        <v>713.28202290709578</v>
      </c>
      <c r="AO6" s="22">
        <v>693.89491902799296</v>
      </c>
      <c r="AP6" s="23"/>
      <c r="AQ6" s="23"/>
      <c r="AR6" s="23"/>
      <c r="AS6" s="612"/>
      <c r="AT6" s="139"/>
      <c r="AU6" s="139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</row>
    <row r="7" spans="1:72" s="22" customFormat="1" ht="16.5" customHeight="1" x14ac:dyDescent="0.2">
      <c r="A7" s="631" t="s">
        <v>53</v>
      </c>
      <c r="B7" s="154" t="s">
        <v>56</v>
      </c>
      <c r="C7" s="580" t="s">
        <v>56</v>
      </c>
      <c r="D7" s="109" t="s">
        <v>167</v>
      </c>
      <c r="E7" s="109" t="s">
        <v>179</v>
      </c>
      <c r="F7" s="109" t="s">
        <v>56</v>
      </c>
      <c r="G7" s="175" t="s">
        <v>312</v>
      </c>
      <c r="H7" s="22">
        <v>8144.7798520956585</v>
      </c>
      <c r="I7" s="22">
        <v>8148.7308726661513</v>
      </c>
      <c r="J7" s="22">
        <v>8134.3427496748418</v>
      </c>
      <c r="K7" s="22">
        <v>8140.6673725558303</v>
      </c>
      <c r="L7" s="22">
        <v>8131.4866399288048</v>
      </c>
      <c r="M7" s="22">
        <v>8113.1544014954152</v>
      </c>
      <c r="N7" s="22">
        <v>8105.6363081717036</v>
      </c>
      <c r="O7" s="22">
        <v>8098.633250412644</v>
      </c>
      <c r="P7" s="22">
        <v>8093.7198556941494</v>
      </c>
      <c r="Q7" s="22">
        <v>8096.6213018817753</v>
      </c>
      <c r="R7" s="22">
        <v>8097.5460153646645</v>
      </c>
      <c r="S7" s="22">
        <v>8102.5296062484686</v>
      </c>
      <c r="T7" s="22">
        <v>8111.8545453770676</v>
      </c>
      <c r="U7" s="22">
        <v>8102.4315852296877</v>
      </c>
      <c r="V7" s="22">
        <v>8099.1138597337467</v>
      </c>
      <c r="W7" s="22">
        <v>8094.3155077845931</v>
      </c>
      <c r="X7" s="22">
        <v>8137.7707307947294</v>
      </c>
      <c r="Y7" s="22">
        <v>8033.0638332903663</v>
      </c>
      <c r="Z7" s="22">
        <v>8068.2905228479858</v>
      </c>
      <c r="AA7" s="22">
        <v>8129.9927395717596</v>
      </c>
      <c r="AB7" s="22">
        <v>8102.9723756149424</v>
      </c>
      <c r="AC7" s="22">
        <v>8080.3910992854117</v>
      </c>
      <c r="AD7" s="22">
        <v>8083.5639237936675</v>
      </c>
      <c r="AE7" s="22">
        <v>8082.919290300546</v>
      </c>
      <c r="AF7" s="22">
        <v>8074.9415116811297</v>
      </c>
      <c r="AG7" s="22">
        <v>8064.7733356315666</v>
      </c>
      <c r="AH7" s="22">
        <v>8045.8707348533044</v>
      </c>
      <c r="AI7" s="22">
        <v>8017.1893686670883</v>
      </c>
      <c r="AJ7" s="22">
        <v>8003.7823871271967</v>
      </c>
      <c r="AK7" s="22">
        <v>8016.2787834403807</v>
      </c>
      <c r="AL7" s="22">
        <v>8050.7790467144341</v>
      </c>
      <c r="AM7" s="22">
        <v>8057.7408961241317</v>
      </c>
      <c r="AN7" s="22">
        <v>8043.5513251480124</v>
      </c>
      <c r="AO7" s="22">
        <v>8042.6370814570228</v>
      </c>
      <c r="AP7" s="23"/>
      <c r="AQ7" s="23"/>
      <c r="AR7" s="23"/>
      <c r="AS7" s="612"/>
      <c r="AT7" s="139"/>
      <c r="AU7" s="139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</row>
    <row r="8" spans="1:72" s="22" customFormat="1" ht="16.5" customHeight="1" x14ac:dyDescent="0.2">
      <c r="A8" s="631" t="s">
        <v>54</v>
      </c>
      <c r="B8" s="154" t="s">
        <v>56</v>
      </c>
      <c r="C8" s="580"/>
      <c r="D8" s="109" t="s">
        <v>1</v>
      </c>
      <c r="E8" s="109" t="s">
        <v>158</v>
      </c>
      <c r="F8" s="109"/>
      <c r="G8" s="175" t="s">
        <v>312</v>
      </c>
      <c r="H8" s="22">
        <v>207.48113534917758</v>
      </c>
      <c r="I8" s="22">
        <v>212.03186178888896</v>
      </c>
      <c r="J8" s="22">
        <v>225.58702102180382</v>
      </c>
      <c r="K8" s="22">
        <v>236.40774938066681</v>
      </c>
      <c r="L8" s="22">
        <v>244.83071881712891</v>
      </c>
      <c r="M8" s="22">
        <v>255.41947994235574</v>
      </c>
      <c r="N8" s="22">
        <v>264.77085314091136</v>
      </c>
      <c r="O8" s="22">
        <v>272.26856425711782</v>
      </c>
      <c r="P8" s="22">
        <v>275.0555897730635</v>
      </c>
      <c r="Q8" s="22">
        <v>283.13384361127055</v>
      </c>
      <c r="R8" s="22">
        <v>292.50690649920642</v>
      </c>
      <c r="S8" s="22">
        <v>301.98699890531498</v>
      </c>
      <c r="T8" s="22">
        <v>306.63764321140201</v>
      </c>
      <c r="U8" s="22">
        <v>307.81599942507393</v>
      </c>
      <c r="V8" s="22">
        <v>316.82840962116035</v>
      </c>
      <c r="W8" s="22">
        <v>309.4550863499295</v>
      </c>
      <c r="X8" s="22">
        <v>333.07583774570196</v>
      </c>
      <c r="Y8" s="22">
        <v>336.59809645653598</v>
      </c>
      <c r="Z8" s="22">
        <v>319.07552636085347</v>
      </c>
      <c r="AA8" s="22">
        <v>309.20836584471436</v>
      </c>
      <c r="AB8" s="22">
        <v>305.67596243778644</v>
      </c>
      <c r="AC8" s="22">
        <v>286.33380167681753</v>
      </c>
      <c r="AD8" s="22">
        <v>266.02689980767514</v>
      </c>
      <c r="AE8" s="22">
        <v>265.34308724396942</v>
      </c>
      <c r="AF8" s="22">
        <v>265.43226219787164</v>
      </c>
      <c r="AG8" s="22">
        <v>264.35718550776443</v>
      </c>
      <c r="AH8" s="22">
        <v>260.49570988862047</v>
      </c>
      <c r="AI8" s="22">
        <v>257.99818993673932</v>
      </c>
      <c r="AJ8" s="22">
        <v>256.58386722176402</v>
      </c>
      <c r="AK8" s="22">
        <v>230.54539718147191</v>
      </c>
      <c r="AL8" s="22">
        <v>259.36076344304627</v>
      </c>
      <c r="AM8" s="22">
        <v>256.69476979530492</v>
      </c>
      <c r="AN8" s="22">
        <v>246.53374573465359</v>
      </c>
      <c r="AO8" s="22">
        <v>233.17458725375354</v>
      </c>
      <c r="AP8" s="23"/>
      <c r="AQ8" s="23"/>
      <c r="AR8" s="23"/>
      <c r="AS8" s="612"/>
      <c r="AT8" s="139"/>
      <c r="AU8" s="139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</row>
    <row r="9" spans="1:72" s="23" customFormat="1" ht="16.5" customHeight="1" x14ac:dyDescent="0.2">
      <c r="A9" s="631" t="s">
        <v>55</v>
      </c>
      <c r="B9" s="154" t="s">
        <v>56</v>
      </c>
      <c r="C9" s="159"/>
      <c r="D9" s="110" t="s">
        <v>291</v>
      </c>
      <c r="E9" s="110"/>
      <c r="F9" s="110"/>
      <c r="G9" s="333" t="s">
        <v>313</v>
      </c>
      <c r="H9" s="23">
        <v>11852.37826799807</v>
      </c>
      <c r="I9" s="23">
        <v>11652.369125081812</v>
      </c>
      <c r="J9" s="23">
        <v>11576.030037374414</v>
      </c>
      <c r="K9" s="23">
        <v>11667.476192413347</v>
      </c>
      <c r="L9" s="23">
        <v>11592.917131392524</v>
      </c>
      <c r="M9" s="23">
        <v>11704.538236785087</v>
      </c>
      <c r="N9" s="23">
        <v>11753.534225040396</v>
      </c>
      <c r="O9" s="23">
        <v>11906.180967930295</v>
      </c>
      <c r="P9" s="23">
        <v>12050.035920395763</v>
      </c>
      <c r="Q9" s="23">
        <v>12269.526557238678</v>
      </c>
      <c r="R9" s="23">
        <v>12299.230650855205</v>
      </c>
      <c r="S9" s="23">
        <v>12203.042167057902</v>
      </c>
      <c r="T9" s="23">
        <v>12299.069446624191</v>
      </c>
      <c r="U9" s="23">
        <v>12260.707651675184</v>
      </c>
      <c r="V9" s="23">
        <v>12369.656767815979</v>
      </c>
      <c r="W9" s="23">
        <v>12223.394817275537</v>
      </c>
      <c r="X9" s="23">
        <v>12824.733240635207</v>
      </c>
      <c r="Y9" s="23">
        <v>13025.881488368334</v>
      </c>
      <c r="Z9" s="23">
        <v>13442.613350405411</v>
      </c>
      <c r="AA9" s="23">
        <v>13201.750989738375</v>
      </c>
      <c r="AB9" s="23">
        <v>13079.446712342264</v>
      </c>
      <c r="AC9" s="23">
        <v>12843.646482162221</v>
      </c>
      <c r="AD9" s="23">
        <v>12838.135730386814</v>
      </c>
      <c r="AE9" s="23">
        <v>12841.147018145855</v>
      </c>
      <c r="AF9" s="23">
        <v>12837.299431141018</v>
      </c>
      <c r="AG9" s="23">
        <v>12910.430203057418</v>
      </c>
      <c r="AH9" s="23">
        <v>12843.946637391526</v>
      </c>
      <c r="AI9" s="23">
        <v>12902.74959822346</v>
      </c>
      <c r="AJ9" s="23">
        <v>12948.611996677379</v>
      </c>
      <c r="AK9" s="23">
        <v>12813.951641467305</v>
      </c>
      <c r="AL9" s="23">
        <v>12657.073715430522</v>
      </c>
      <c r="AM9" s="23">
        <v>12788.15054041497</v>
      </c>
      <c r="AN9" s="23">
        <v>12826.578409692822</v>
      </c>
      <c r="AO9" s="23">
        <v>12690.198268799842</v>
      </c>
      <c r="AS9" s="612"/>
      <c r="AT9" s="139"/>
      <c r="AU9" s="139"/>
    </row>
    <row r="10" spans="1:72" s="23" customFormat="1" ht="16.5" customHeight="1" x14ac:dyDescent="0.2">
      <c r="A10" s="631" t="s">
        <v>57</v>
      </c>
      <c r="B10" s="154" t="s">
        <v>56</v>
      </c>
      <c r="C10" s="159"/>
      <c r="D10" s="110" t="s">
        <v>292</v>
      </c>
      <c r="E10" s="110"/>
      <c r="F10" s="110"/>
      <c r="G10" s="333" t="s">
        <v>313</v>
      </c>
      <c r="H10" s="23">
        <v>3707.5984159024119</v>
      </c>
      <c r="I10" s="23">
        <v>3503.6382524156593</v>
      </c>
      <c r="J10" s="23">
        <v>3441.6872876995731</v>
      </c>
      <c r="K10" s="23">
        <v>3526.8088198575174</v>
      </c>
      <c r="L10" s="23">
        <v>3461.4304914637191</v>
      </c>
      <c r="M10" s="23">
        <v>3591.3838352896728</v>
      </c>
      <c r="N10" s="23">
        <v>3647.8979168686906</v>
      </c>
      <c r="O10" s="23">
        <v>3807.547717517652</v>
      </c>
      <c r="P10" s="23">
        <v>3956.3160647016157</v>
      </c>
      <c r="Q10" s="23">
        <v>4172.9052553569018</v>
      </c>
      <c r="R10" s="23">
        <v>4201.684635490541</v>
      </c>
      <c r="S10" s="23">
        <v>4100.512560809434</v>
      </c>
      <c r="T10" s="23">
        <v>4187.2149012471236</v>
      </c>
      <c r="U10" s="23">
        <v>4158.2760664454945</v>
      </c>
      <c r="V10" s="23">
        <v>4270.5429080822323</v>
      </c>
      <c r="W10" s="23">
        <v>4129.0793094909441</v>
      </c>
      <c r="X10" s="23">
        <v>4686.9625098404777</v>
      </c>
      <c r="Y10" s="23">
        <v>4992.8176550779681</v>
      </c>
      <c r="Z10" s="23">
        <v>5374.3228275574238</v>
      </c>
      <c r="AA10" s="23">
        <v>5071.7582501666166</v>
      </c>
      <c r="AB10" s="23">
        <v>4976.4743367273222</v>
      </c>
      <c r="AC10" s="23">
        <v>4763.2553828768087</v>
      </c>
      <c r="AD10" s="23">
        <v>4754.571806593146</v>
      </c>
      <c r="AE10" s="23">
        <v>4758.2277278453093</v>
      </c>
      <c r="AF10" s="23">
        <v>4762.3579194598888</v>
      </c>
      <c r="AG10" s="23">
        <v>4845.6568674258524</v>
      </c>
      <c r="AH10" s="23">
        <v>4798.0759025382213</v>
      </c>
      <c r="AI10" s="23">
        <v>4885.5602295563713</v>
      </c>
      <c r="AJ10" s="23">
        <v>4944.8296095501819</v>
      </c>
      <c r="AK10" s="23">
        <v>4797.6728580269255</v>
      </c>
      <c r="AL10" s="23">
        <v>4606.2946687160884</v>
      </c>
      <c r="AM10" s="23">
        <v>4730.4096442908367</v>
      </c>
      <c r="AN10" s="23">
        <v>4783.0270845448094</v>
      </c>
      <c r="AO10" s="23">
        <v>4647.5611873428188</v>
      </c>
      <c r="AS10" s="612"/>
      <c r="AT10" s="139"/>
      <c r="AU10" s="139"/>
    </row>
    <row r="11" spans="1:72" s="149" customFormat="1" x14ac:dyDescent="0.25">
      <c r="A11" s="645"/>
      <c r="B11" s="254"/>
      <c r="C11" s="254"/>
      <c r="D11" s="152"/>
      <c r="E11" s="152"/>
      <c r="F11" s="152"/>
      <c r="G11" s="599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 t="b">
        <f>AO23=AO18</f>
        <v>0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647"/>
    </row>
    <row r="12" spans="1:72" s="244" customFormat="1" ht="38.25" customHeight="1" x14ac:dyDescent="0.4">
      <c r="A12" s="248"/>
      <c r="B12" s="562"/>
      <c r="C12" s="240"/>
      <c r="D12" s="448" t="s">
        <v>260</v>
      </c>
      <c r="E12" s="240"/>
      <c r="F12" s="240"/>
      <c r="G12" s="247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6"/>
      <c r="AO12" s="245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</row>
    <row r="13" spans="1:72" s="372" customFormat="1" ht="24" customHeight="1" x14ac:dyDescent="0.25">
      <c r="A13" s="563"/>
      <c r="B13" s="563"/>
      <c r="C13" s="455"/>
      <c r="D13" s="528" t="s">
        <v>293</v>
      </c>
      <c r="E13" s="455"/>
      <c r="F13" s="455"/>
      <c r="G13" s="455"/>
      <c r="H13" s="455">
        <v>1990</v>
      </c>
      <c r="I13" s="455">
        <v>1991</v>
      </c>
      <c r="J13" s="455">
        <v>1992</v>
      </c>
      <c r="K13" s="455">
        <v>1993</v>
      </c>
      <c r="L13" s="455">
        <v>1994</v>
      </c>
      <c r="M13" s="455">
        <v>1995</v>
      </c>
      <c r="N13" s="455">
        <v>1996</v>
      </c>
      <c r="O13" s="455">
        <v>1997</v>
      </c>
      <c r="P13" s="455">
        <v>1998</v>
      </c>
      <c r="Q13" s="455">
        <v>1999</v>
      </c>
      <c r="R13" s="455">
        <v>2000</v>
      </c>
      <c r="S13" s="455">
        <v>2001</v>
      </c>
      <c r="T13" s="455">
        <v>2002</v>
      </c>
      <c r="U13" s="455">
        <v>2003</v>
      </c>
      <c r="V13" s="455">
        <v>2004</v>
      </c>
      <c r="W13" s="455">
        <v>2005</v>
      </c>
      <c r="X13" s="455">
        <v>2006</v>
      </c>
      <c r="Y13" s="455">
        <v>2007</v>
      </c>
      <c r="Z13" s="455">
        <v>2008</v>
      </c>
      <c r="AA13" s="455">
        <v>2009</v>
      </c>
      <c r="AB13" s="455">
        <v>2010</v>
      </c>
      <c r="AC13" s="455">
        <v>2011</v>
      </c>
      <c r="AD13" s="455">
        <v>2012</v>
      </c>
      <c r="AE13" s="455">
        <v>2013</v>
      </c>
      <c r="AF13" s="455">
        <v>2014</v>
      </c>
      <c r="AG13" s="455">
        <v>2015</v>
      </c>
      <c r="AH13" s="455">
        <v>2016</v>
      </c>
      <c r="AI13" s="455">
        <v>2017</v>
      </c>
      <c r="AJ13" s="455">
        <v>2018</v>
      </c>
      <c r="AK13" s="456">
        <v>2019</v>
      </c>
      <c r="AL13" s="456">
        <v>2020</v>
      </c>
      <c r="AM13" s="456">
        <v>2021</v>
      </c>
      <c r="AN13" s="456">
        <v>2022</v>
      </c>
      <c r="AO13" s="456">
        <v>2023</v>
      </c>
      <c r="AP13" s="456"/>
      <c r="AQ13" s="456"/>
      <c r="AR13" s="456"/>
      <c r="AS13" s="456"/>
      <c r="AT13" s="456"/>
      <c r="AU13" s="456"/>
      <c r="AV13" s="456"/>
    </row>
    <row r="14" spans="1:72" customFormat="1" ht="16.350000000000001" customHeight="1" x14ac:dyDescent="0.25">
      <c r="A14" s="252" t="s">
        <v>58</v>
      </c>
      <c r="B14" s="255" t="s">
        <v>56</v>
      </c>
      <c r="C14" s="580"/>
      <c r="D14" s="109" t="str">
        <f>D27</f>
        <v>Fiskiskip</v>
      </c>
      <c r="E14" s="109" t="s">
        <v>173</v>
      </c>
      <c r="F14" s="109"/>
      <c r="G14" s="175" t="s">
        <v>312</v>
      </c>
      <c r="H14" s="22">
        <v>760.43743715697804</v>
      </c>
      <c r="I14" s="22">
        <v>738.54790545981575</v>
      </c>
      <c r="J14" s="22">
        <v>817.72261535831558</v>
      </c>
      <c r="K14" s="22">
        <v>875.35407857239727</v>
      </c>
      <c r="L14" s="22">
        <v>858.59988349043726</v>
      </c>
      <c r="M14" s="22">
        <v>921.58739468062106</v>
      </c>
      <c r="N14" s="22">
        <v>941.8355393211059</v>
      </c>
      <c r="O14" s="22">
        <v>928.43528249451151</v>
      </c>
      <c r="P14" s="22">
        <v>913.7304185060168</v>
      </c>
      <c r="Q14" s="22">
        <v>896.73666811718942</v>
      </c>
      <c r="R14" s="22">
        <v>891.62636675738338</v>
      </c>
      <c r="S14" s="22">
        <v>735.43512282644895</v>
      </c>
      <c r="T14" s="22">
        <v>833.44738299320807</v>
      </c>
      <c r="U14" s="22">
        <v>800.59763840041353</v>
      </c>
      <c r="V14" s="22">
        <v>822.10422373737845</v>
      </c>
      <c r="W14" s="22">
        <v>742.27579695757936</v>
      </c>
      <c r="X14" s="22">
        <v>676.16624793131371</v>
      </c>
      <c r="Y14" s="22">
        <v>768.90031104164586</v>
      </c>
      <c r="Z14" s="22">
        <v>706.67813037021858</v>
      </c>
      <c r="AA14" s="22">
        <v>762.70393720745039</v>
      </c>
      <c r="AB14" s="22">
        <v>726.56824505484042</v>
      </c>
      <c r="AC14" s="22">
        <v>657.20260984912954</v>
      </c>
      <c r="AD14" s="22">
        <v>651.37378056662806</v>
      </c>
      <c r="AE14" s="22">
        <v>614.72353826059737</v>
      </c>
      <c r="AF14" s="22">
        <v>606.24731041801465</v>
      </c>
      <c r="AG14" s="22">
        <v>621.21740588116916</v>
      </c>
      <c r="AH14" s="22">
        <v>518.76690503112491</v>
      </c>
      <c r="AI14" s="22">
        <v>530.38142924834813</v>
      </c>
      <c r="AJ14" s="22">
        <v>546.90019133575004</v>
      </c>
      <c r="AK14" s="22">
        <v>518.36261174209733</v>
      </c>
      <c r="AL14" s="22">
        <v>509.49421478812258</v>
      </c>
      <c r="AM14" s="22">
        <v>569.42147138918847</v>
      </c>
      <c r="AN14" s="22">
        <v>480.50043943615663</v>
      </c>
      <c r="AO14" s="22">
        <v>485.3352147538011</v>
      </c>
      <c r="AP14" s="610"/>
      <c r="AQ14" s="610"/>
      <c r="AR14" s="610"/>
      <c r="AS14" s="614"/>
      <c r="AT14" s="614"/>
      <c r="AU14" s="614"/>
    </row>
    <row r="15" spans="1:72" customFormat="1" ht="16.350000000000001" customHeight="1" x14ac:dyDescent="0.25">
      <c r="A15" s="252" t="s">
        <v>59</v>
      </c>
      <c r="B15" s="255" t="s">
        <v>56</v>
      </c>
      <c r="C15" s="580"/>
      <c r="D15" s="109" t="str">
        <f>D28</f>
        <v>Vegasamgöngur</v>
      </c>
      <c r="E15" s="109" t="s">
        <v>196</v>
      </c>
      <c r="F15" s="109"/>
      <c r="G15" s="175" t="s">
        <v>312</v>
      </c>
      <c r="H15" s="22">
        <v>530.7009231362897</v>
      </c>
      <c r="I15" s="22">
        <v>549.17187398165254</v>
      </c>
      <c r="J15" s="22">
        <v>563.626051363991</v>
      </c>
      <c r="K15" s="22">
        <v>560.43953147724108</v>
      </c>
      <c r="L15" s="22">
        <v>568.39890359988328</v>
      </c>
      <c r="M15" s="22">
        <v>558.16030073013405</v>
      </c>
      <c r="N15" s="22">
        <v>538.78089172673845</v>
      </c>
      <c r="O15" s="22">
        <v>570.04492803345556</v>
      </c>
      <c r="P15" s="22">
        <v>578.62328150873111</v>
      </c>
      <c r="Q15" s="22">
        <v>604.18995374653491</v>
      </c>
      <c r="R15" s="22">
        <v>615.73403505372619</v>
      </c>
      <c r="S15" s="22">
        <v>622.28592329183994</v>
      </c>
      <c r="T15" s="22">
        <v>631.124057560339</v>
      </c>
      <c r="U15" s="22">
        <v>709.90818094417125</v>
      </c>
      <c r="V15" s="22">
        <v>746.64880758060849</v>
      </c>
      <c r="W15" s="22">
        <v>774.98717675893204</v>
      </c>
      <c r="X15" s="22">
        <v>883.45643465810895</v>
      </c>
      <c r="Y15" s="22">
        <v>914.96673008540438</v>
      </c>
      <c r="Z15" s="22">
        <v>861.23256083911201</v>
      </c>
      <c r="AA15" s="22">
        <v>862.03000676944737</v>
      </c>
      <c r="AB15" s="22">
        <v>814.50613831283817</v>
      </c>
      <c r="AC15" s="22">
        <v>796.11839555550409</v>
      </c>
      <c r="AD15" s="22">
        <v>790.6110668506775</v>
      </c>
      <c r="AE15" s="22">
        <v>805.08699020156052</v>
      </c>
      <c r="AF15" s="22">
        <v>804.21870801816067</v>
      </c>
      <c r="AG15" s="22">
        <v>826.77387826647612</v>
      </c>
      <c r="AH15" s="22">
        <v>901.82935475513204</v>
      </c>
      <c r="AI15" s="22">
        <v>951.38401673442957</v>
      </c>
      <c r="AJ15" s="22">
        <v>976.87494552460259</v>
      </c>
      <c r="AK15" s="22">
        <v>956.41207127039218</v>
      </c>
      <c r="AL15" s="22">
        <v>830.28702289015064</v>
      </c>
      <c r="AM15" s="22">
        <v>859.18959264190892</v>
      </c>
      <c r="AN15" s="22">
        <v>926.01224577878793</v>
      </c>
      <c r="AO15" s="22">
        <v>921.28481276391403</v>
      </c>
      <c r="AP15" s="610"/>
      <c r="AQ15" s="610"/>
      <c r="AR15" s="610"/>
      <c r="AS15" s="614"/>
      <c r="AT15" s="614"/>
      <c r="AU15" s="614"/>
    </row>
    <row r="16" spans="1:72" customFormat="1" ht="16.350000000000001" customHeight="1" x14ac:dyDescent="0.25">
      <c r="A16" s="252" t="s">
        <v>63</v>
      </c>
      <c r="B16" s="255" t="s">
        <v>56</v>
      </c>
      <c r="C16" s="580"/>
      <c r="D16" s="109" t="str">
        <f>D40</f>
        <v>Jarðvarmavirkjanir</v>
      </c>
      <c r="E16" s="109" t="s">
        <v>176</v>
      </c>
      <c r="F16" s="109"/>
      <c r="G16" s="175" t="s">
        <v>312</v>
      </c>
      <c r="H16" s="22">
        <v>61.574334357545837</v>
      </c>
      <c r="I16" s="22">
        <v>70.154014848439829</v>
      </c>
      <c r="J16" s="22">
        <v>67.791788574964158</v>
      </c>
      <c r="K16" s="22">
        <v>85.572844383378467</v>
      </c>
      <c r="L16" s="22">
        <v>70.319060800123538</v>
      </c>
      <c r="M16" s="22">
        <v>82.457990170658434</v>
      </c>
      <c r="N16" s="22">
        <v>81.53239883625325</v>
      </c>
      <c r="O16" s="22">
        <v>67.138591404165552</v>
      </c>
      <c r="P16" s="22">
        <v>84.222237993796114</v>
      </c>
      <c r="Q16" s="22">
        <v>112.15179494287861</v>
      </c>
      <c r="R16" s="22">
        <v>154.16614156765178</v>
      </c>
      <c r="S16" s="22">
        <v>144.88875098397415</v>
      </c>
      <c r="T16" s="22">
        <v>148.51789217619518</v>
      </c>
      <c r="U16" s="22">
        <v>137.42801253995231</v>
      </c>
      <c r="V16" s="22">
        <v>124.04475425748892</v>
      </c>
      <c r="W16" s="22">
        <v>119.43739330616143</v>
      </c>
      <c r="X16" s="22">
        <v>129.4591322935857</v>
      </c>
      <c r="Y16" s="22">
        <v>150.1365476380019</v>
      </c>
      <c r="Z16" s="22">
        <v>188.79046841169912</v>
      </c>
      <c r="AA16" s="22">
        <v>172.68275584137766</v>
      </c>
      <c r="AB16" s="22">
        <v>194.76400000000001</v>
      </c>
      <c r="AC16" s="22">
        <v>183.428</v>
      </c>
      <c r="AD16" s="22">
        <v>175.14867999999998</v>
      </c>
      <c r="AE16" s="22">
        <v>177.02600000000001</v>
      </c>
      <c r="AF16" s="22">
        <v>187.44652000000002</v>
      </c>
      <c r="AG16" s="22">
        <v>167.55332000000001</v>
      </c>
      <c r="AH16" s="22">
        <v>152.1463984264463</v>
      </c>
      <c r="AI16" s="22">
        <v>149.39019999999999</v>
      </c>
      <c r="AJ16" s="22">
        <v>159.285</v>
      </c>
      <c r="AK16" s="22">
        <v>166.61846041329147</v>
      </c>
      <c r="AL16" s="22">
        <v>179.18884</v>
      </c>
      <c r="AM16" s="22">
        <v>166.39276267328282</v>
      </c>
      <c r="AN16" s="22">
        <v>178.14378461355247</v>
      </c>
      <c r="AO16" s="22">
        <v>176.69460000000001</v>
      </c>
      <c r="AP16" s="610"/>
      <c r="AQ16" s="610"/>
      <c r="AR16" s="610"/>
      <c r="AS16" s="614"/>
      <c r="AT16" s="614"/>
      <c r="AU16" s="614"/>
    </row>
    <row r="17" spans="1:72" customFormat="1" ht="16.350000000000001" customHeight="1" x14ac:dyDescent="0.25">
      <c r="A17" s="252" t="s">
        <v>66</v>
      </c>
      <c r="B17" s="255" t="s">
        <v>56</v>
      </c>
      <c r="C17" s="580"/>
      <c r="D17" s="109" t="str">
        <f>D47</f>
        <v>Álframleiðsla</v>
      </c>
      <c r="E17" s="109" t="s">
        <v>194</v>
      </c>
      <c r="F17" s="109"/>
      <c r="G17" s="175" t="s">
        <v>312</v>
      </c>
      <c r="H17" s="22">
        <v>584.02647277080598</v>
      </c>
      <c r="I17" s="22">
        <v>511.273947602943</v>
      </c>
      <c r="J17" s="22">
        <v>301.38514547007009</v>
      </c>
      <c r="K17" s="22">
        <v>220.97402310838271</v>
      </c>
      <c r="L17" s="22">
        <v>198.23658153612337</v>
      </c>
      <c r="M17" s="22">
        <v>216.34383922975644</v>
      </c>
      <c r="N17" s="22">
        <v>186.93379884741088</v>
      </c>
      <c r="O17" s="22">
        <v>280.12409822292682</v>
      </c>
      <c r="P17" s="22">
        <v>462.00564836059743</v>
      </c>
      <c r="Q17" s="22">
        <v>537.93035391162721</v>
      </c>
      <c r="R17" s="22">
        <v>487.74535268246626</v>
      </c>
      <c r="S17" s="22">
        <v>479.60292131211997</v>
      </c>
      <c r="T17" s="22">
        <v>478.11541899358679</v>
      </c>
      <c r="U17" s="22">
        <v>473.56894969857348</v>
      </c>
      <c r="V17" s="22">
        <v>456.78557352619629</v>
      </c>
      <c r="W17" s="22">
        <v>444.80851616708713</v>
      </c>
      <c r="X17" s="22">
        <v>869.57185988485026</v>
      </c>
      <c r="Y17" s="22">
        <v>990.98126629758121</v>
      </c>
      <c r="Z17" s="22">
        <v>1556.7584922170536</v>
      </c>
      <c r="AA17" s="22">
        <v>1393.4018646112659</v>
      </c>
      <c r="AB17" s="22">
        <v>1391.9209450624717</v>
      </c>
      <c r="AC17" s="22">
        <v>1281.3105455922127</v>
      </c>
      <c r="AD17" s="22">
        <v>1328.7342410906138</v>
      </c>
      <c r="AE17" s="22">
        <v>1353.4714335748733</v>
      </c>
      <c r="AF17" s="22">
        <v>1368.5549133196287</v>
      </c>
      <c r="AG17" s="22">
        <v>1392.8009611325194</v>
      </c>
      <c r="AH17" s="22">
        <v>1354.0817500285532</v>
      </c>
      <c r="AI17" s="22">
        <v>1385.559079923195</v>
      </c>
      <c r="AJ17" s="22">
        <v>1382.5326490562106</v>
      </c>
      <c r="AK17" s="22">
        <v>1348.3578754895577</v>
      </c>
      <c r="AL17" s="22">
        <v>1328.8493581323712</v>
      </c>
      <c r="AM17" s="22">
        <v>1345.5222697586937</v>
      </c>
      <c r="AN17" s="22">
        <v>1354.2007303406649</v>
      </c>
      <c r="AO17" s="22">
        <v>1402.6496416686878</v>
      </c>
      <c r="AP17" s="610"/>
      <c r="AQ17" s="610"/>
      <c r="AR17" s="610"/>
      <c r="AS17" s="614"/>
      <c r="AT17" s="614"/>
      <c r="AU17" s="614"/>
    </row>
    <row r="18" spans="1:72" customFormat="1" ht="16.350000000000001" customHeight="1" x14ac:dyDescent="0.25">
      <c r="A18" s="252" t="s">
        <v>337</v>
      </c>
      <c r="B18" s="255" t="s">
        <v>56</v>
      </c>
      <c r="C18" s="580" t="s">
        <v>56</v>
      </c>
      <c r="D18" s="109" t="str">
        <f>D48</f>
        <v>Kísil- og kísilmálmframleiðsla</v>
      </c>
      <c r="E18" s="109" t="s">
        <v>195</v>
      </c>
      <c r="F18" s="109" t="s">
        <v>56</v>
      </c>
      <c r="G18" s="175" t="s">
        <v>312</v>
      </c>
      <c r="H18" s="22">
        <v>210.55472170666667</v>
      </c>
      <c r="I18" s="22">
        <v>176.80528261706669</v>
      </c>
      <c r="J18" s="22">
        <v>188.28332888506671</v>
      </c>
      <c r="K18" s="22">
        <v>238.53559058533338</v>
      </c>
      <c r="L18" s="22">
        <v>232.49217533253338</v>
      </c>
      <c r="M18" s="22">
        <v>245.96401927226665</v>
      </c>
      <c r="N18" s="22">
        <v>235.22782835253332</v>
      </c>
      <c r="O18" s="22">
        <v>257.17700316373333</v>
      </c>
      <c r="P18" s="22">
        <v>198.58720348560001</v>
      </c>
      <c r="Q18" s="22">
        <v>257.83106455839999</v>
      </c>
      <c r="R18" s="22">
        <v>365.65036656475536</v>
      </c>
      <c r="S18" s="22">
        <v>386.08921316544843</v>
      </c>
      <c r="T18" s="22">
        <v>403.9326403148857</v>
      </c>
      <c r="U18" s="22">
        <v>402.47385277209037</v>
      </c>
      <c r="V18" s="22">
        <v>401.96736076842336</v>
      </c>
      <c r="W18" s="22">
        <v>379.94289400640002</v>
      </c>
      <c r="X18" s="22">
        <v>381.71962690880008</v>
      </c>
      <c r="Y18" s="22">
        <v>401.35289110400004</v>
      </c>
      <c r="Z18" s="22">
        <v>351.97302632799995</v>
      </c>
      <c r="AA18" s="22">
        <v>353.3588710624</v>
      </c>
      <c r="AB18" s="22">
        <v>372.56202565120009</v>
      </c>
      <c r="AC18" s="22">
        <v>380.41566972484713</v>
      </c>
      <c r="AD18" s="22">
        <v>413.43718523066929</v>
      </c>
      <c r="AE18" s="22">
        <v>409.5077919157888</v>
      </c>
      <c r="AF18" s="22">
        <v>371.44549117182407</v>
      </c>
      <c r="AG18" s="22">
        <v>404.22007331306247</v>
      </c>
      <c r="AH18" s="22">
        <v>408.51819724381278</v>
      </c>
      <c r="AI18" s="22">
        <v>431.82186025965422</v>
      </c>
      <c r="AJ18" s="22">
        <v>455.77922710046619</v>
      </c>
      <c r="AK18" s="22">
        <v>432.40627007368806</v>
      </c>
      <c r="AL18" s="22">
        <v>418.71234892799322</v>
      </c>
      <c r="AM18" s="22">
        <v>476.02459170932525</v>
      </c>
      <c r="AN18" s="22">
        <v>517.72039053568767</v>
      </c>
      <c r="AO18" s="22">
        <v>408.20430474231654</v>
      </c>
      <c r="AP18" s="610"/>
      <c r="AQ18" s="610"/>
      <c r="AR18" s="610"/>
      <c r="AS18" s="614"/>
      <c r="AT18" s="614"/>
      <c r="AU18" s="614"/>
    </row>
    <row r="19" spans="1:72" customFormat="1" ht="16.350000000000001" customHeight="1" x14ac:dyDescent="0.25">
      <c r="A19" s="252" t="s">
        <v>52</v>
      </c>
      <c r="B19" s="255" t="s">
        <v>56</v>
      </c>
      <c r="C19" s="580" t="s">
        <v>56</v>
      </c>
      <c r="D19" s="109" t="s">
        <v>2</v>
      </c>
      <c r="E19" s="109" t="s">
        <v>157</v>
      </c>
      <c r="F19" s="109" t="s">
        <v>56</v>
      </c>
      <c r="G19" s="175" t="s">
        <v>312</v>
      </c>
      <c r="H19" s="22">
        <v>757.26583613456091</v>
      </c>
      <c r="I19" s="22">
        <v>745.56651811389327</v>
      </c>
      <c r="J19" s="22">
        <v>732.29699880886517</v>
      </c>
      <c r="K19" s="22">
        <v>735.23896768959082</v>
      </c>
      <c r="L19" s="22">
        <v>743.303989988897</v>
      </c>
      <c r="M19" s="22">
        <v>725.73787812875787</v>
      </c>
      <c r="N19" s="22">
        <v>740.35312512021119</v>
      </c>
      <c r="O19" s="22">
        <v>733.74792508347105</v>
      </c>
      <c r="P19" s="22">
        <v>749.92218769675549</v>
      </c>
      <c r="Q19" s="22">
        <v>748.19315916597407</v>
      </c>
      <c r="R19" s="22">
        <v>732.62182097151128</v>
      </c>
      <c r="S19" s="22">
        <v>734.08199715724618</v>
      </c>
      <c r="T19" s="22">
        <v>718.27318132763492</v>
      </c>
      <c r="U19" s="22">
        <v>711.41008920103468</v>
      </c>
      <c r="V19" s="22">
        <v>707.78325762783004</v>
      </c>
      <c r="W19" s="22">
        <v>711.13298689212684</v>
      </c>
      <c r="X19" s="22">
        <v>738.21505271701574</v>
      </c>
      <c r="Y19" s="22">
        <v>755.14040435119284</v>
      </c>
      <c r="Z19" s="22">
        <v>770.84614180723759</v>
      </c>
      <c r="AA19" s="22">
        <v>759.82612374837686</v>
      </c>
      <c r="AB19" s="22">
        <v>748.93405050816432</v>
      </c>
      <c r="AC19" s="22">
        <v>746.42173972245234</v>
      </c>
      <c r="AD19" s="22">
        <v>739.03083173156972</v>
      </c>
      <c r="AE19" s="22">
        <v>730.37249673113286</v>
      </c>
      <c r="AF19" s="22">
        <v>771.36872666527131</v>
      </c>
      <c r="AG19" s="22">
        <v>762.36590004780226</v>
      </c>
      <c r="AH19" s="22">
        <v>761.43509414604023</v>
      </c>
      <c r="AI19" s="22">
        <v>763.8944545373156</v>
      </c>
      <c r="AJ19" s="22">
        <v>742.59364936108125</v>
      </c>
      <c r="AK19" s="22">
        <v>726.79672276905148</v>
      </c>
      <c r="AL19" s="22">
        <v>724.45092605517732</v>
      </c>
      <c r="AM19" s="22">
        <v>727.6080579756449</v>
      </c>
      <c r="AN19" s="22">
        <v>713.28202290709578</v>
      </c>
      <c r="AO19" s="22">
        <v>693.89491902799296</v>
      </c>
      <c r="AP19" s="610"/>
      <c r="AQ19" s="610"/>
      <c r="AR19" s="610"/>
      <c r="AS19" s="614"/>
      <c r="AT19" s="614"/>
      <c r="AU19" s="614"/>
    </row>
    <row r="20" spans="1:72" customFormat="1" ht="16.350000000000001" customHeight="1" x14ac:dyDescent="0.25">
      <c r="A20" s="252" t="s">
        <v>54</v>
      </c>
      <c r="B20" s="255" t="s">
        <v>56</v>
      </c>
      <c r="C20" s="580"/>
      <c r="D20" s="109" t="s">
        <v>1</v>
      </c>
      <c r="E20" s="109" t="s">
        <v>158</v>
      </c>
      <c r="F20" s="109"/>
      <c r="G20" s="175" t="s">
        <v>312</v>
      </c>
      <c r="H20" s="22">
        <v>207.48113534917758</v>
      </c>
      <c r="I20" s="22">
        <v>212.03186178888896</v>
      </c>
      <c r="J20" s="22">
        <v>225.58702102180382</v>
      </c>
      <c r="K20" s="22">
        <v>236.40774938066681</v>
      </c>
      <c r="L20" s="22">
        <v>244.83071881712891</v>
      </c>
      <c r="M20" s="22">
        <v>255.41947994235574</v>
      </c>
      <c r="N20" s="22">
        <v>264.77085314091136</v>
      </c>
      <c r="O20" s="22">
        <v>272.26856425711782</v>
      </c>
      <c r="P20" s="22">
        <v>275.0555897730635</v>
      </c>
      <c r="Q20" s="22">
        <v>283.13384361127055</v>
      </c>
      <c r="R20" s="22">
        <v>292.50690649920642</v>
      </c>
      <c r="S20" s="22">
        <v>301.98699890531498</v>
      </c>
      <c r="T20" s="22">
        <v>306.63764321140201</v>
      </c>
      <c r="U20" s="22">
        <v>307.81599942507393</v>
      </c>
      <c r="V20" s="22">
        <v>316.82840962116035</v>
      </c>
      <c r="W20" s="22">
        <v>309.4550863499295</v>
      </c>
      <c r="X20" s="22">
        <v>333.07583774570196</v>
      </c>
      <c r="Y20" s="22">
        <v>336.59809645653598</v>
      </c>
      <c r="Z20" s="22">
        <v>319.07552636085347</v>
      </c>
      <c r="AA20" s="22">
        <v>309.20836584471436</v>
      </c>
      <c r="AB20" s="22">
        <v>305.67596243778644</v>
      </c>
      <c r="AC20" s="22">
        <v>286.33380167681753</v>
      </c>
      <c r="AD20" s="22">
        <v>266.02689980767514</v>
      </c>
      <c r="AE20" s="22">
        <v>265.34308724396942</v>
      </c>
      <c r="AF20" s="22">
        <v>265.43226219787164</v>
      </c>
      <c r="AG20" s="22">
        <v>264.35718550776443</v>
      </c>
      <c r="AH20" s="22">
        <v>260.49570988862047</v>
      </c>
      <c r="AI20" s="22">
        <v>257.99818993673932</v>
      </c>
      <c r="AJ20" s="22">
        <v>256.58386722176402</v>
      </c>
      <c r="AK20" s="22">
        <v>230.54539718147191</v>
      </c>
      <c r="AL20" s="22">
        <v>259.36076344304627</v>
      </c>
      <c r="AM20" s="22">
        <v>256.69476979530492</v>
      </c>
      <c r="AN20" s="22">
        <v>246.53374573465359</v>
      </c>
      <c r="AO20" s="22">
        <v>233.17458725375354</v>
      </c>
      <c r="AP20" s="610"/>
      <c r="AQ20" s="610"/>
      <c r="AR20" s="610"/>
      <c r="AS20" s="614"/>
      <c r="AT20" s="614"/>
      <c r="AU20" s="614"/>
    </row>
    <row r="21" spans="1:72" customFormat="1" ht="16.350000000000001" customHeight="1" x14ac:dyDescent="0.25">
      <c r="A21" s="631" t="s">
        <v>118</v>
      </c>
      <c r="B21" s="255" t="s">
        <v>56</v>
      </c>
      <c r="C21" s="167"/>
      <c r="D21" s="112" t="s">
        <v>25</v>
      </c>
      <c r="E21" s="109" t="s">
        <v>245</v>
      </c>
      <c r="F21" s="112"/>
      <c r="G21" s="175" t="s">
        <v>312</v>
      </c>
      <c r="H21" s="148">
        <f t="shared" ref="H21:AO21" si="0">H10-SUM(H14:H20)</f>
        <v>595.55755529038652</v>
      </c>
      <c r="I21" s="148">
        <f t="shared" si="0"/>
        <v>500.08684800295941</v>
      </c>
      <c r="J21" s="148">
        <f t="shared" si="0"/>
        <v>544.99433821649654</v>
      </c>
      <c r="K21" s="148">
        <f t="shared" si="0"/>
        <v>574.28603466052709</v>
      </c>
      <c r="L21" s="148">
        <f t="shared" si="0"/>
        <v>545.24917789859228</v>
      </c>
      <c r="M21" s="148">
        <f t="shared" si="0"/>
        <v>585.71293313512251</v>
      </c>
      <c r="N21" s="148">
        <f t="shared" si="0"/>
        <v>658.46348152352675</v>
      </c>
      <c r="O21" s="148">
        <f t="shared" si="0"/>
        <v>698.61132485827056</v>
      </c>
      <c r="P21" s="148">
        <f t="shared" si="0"/>
        <v>694.16949737705545</v>
      </c>
      <c r="Q21" s="148">
        <f t="shared" si="0"/>
        <v>732.73841730302684</v>
      </c>
      <c r="R21" s="148">
        <f t="shared" si="0"/>
        <v>661.63364539384111</v>
      </c>
      <c r="S21" s="148">
        <f t="shared" si="0"/>
        <v>696.14163316704071</v>
      </c>
      <c r="T21" s="148">
        <f t="shared" si="0"/>
        <v>667.16668466987176</v>
      </c>
      <c r="U21" s="148">
        <f t="shared" si="0"/>
        <v>615.07334346418475</v>
      </c>
      <c r="V21" s="148">
        <f t="shared" si="0"/>
        <v>694.38052096314595</v>
      </c>
      <c r="W21" s="148">
        <f t="shared" si="0"/>
        <v>647.03945905272803</v>
      </c>
      <c r="X21" s="148">
        <f t="shared" si="0"/>
        <v>675.2983177011015</v>
      </c>
      <c r="Y21" s="148">
        <f t="shared" si="0"/>
        <v>674.74140810360586</v>
      </c>
      <c r="Z21" s="148">
        <f t="shared" si="0"/>
        <v>618.96848122324991</v>
      </c>
      <c r="AA21" s="148">
        <f t="shared" si="0"/>
        <v>458.54632508158375</v>
      </c>
      <c r="AB21" s="148">
        <f t="shared" si="0"/>
        <v>421.54296970002088</v>
      </c>
      <c r="AC21" s="148">
        <f t="shared" si="0"/>
        <v>432.02462075584481</v>
      </c>
      <c r="AD21" s="148">
        <f t="shared" si="0"/>
        <v>390.20912131531259</v>
      </c>
      <c r="AE21" s="148">
        <f t="shared" si="0"/>
        <v>402.69638991738702</v>
      </c>
      <c r="AF21" s="148">
        <f t="shared" si="0"/>
        <v>387.64398766911745</v>
      </c>
      <c r="AG21" s="148">
        <f t="shared" si="0"/>
        <v>406.36814327705815</v>
      </c>
      <c r="AH21" s="148">
        <f t="shared" si="0"/>
        <v>440.80249301849108</v>
      </c>
      <c r="AI21" s="148">
        <f t="shared" si="0"/>
        <v>415.13099891668935</v>
      </c>
      <c r="AJ21" s="148">
        <f t="shared" si="0"/>
        <v>424.28007995030657</v>
      </c>
      <c r="AK21" s="148">
        <f t="shared" si="0"/>
        <v>418.17344908737505</v>
      </c>
      <c r="AL21" s="148">
        <f t="shared" si="0"/>
        <v>355.95119447922752</v>
      </c>
      <c r="AM21" s="148">
        <f t="shared" si="0"/>
        <v>329.55612834748808</v>
      </c>
      <c r="AN21" s="148">
        <f t="shared" si="0"/>
        <v>366.63372519821132</v>
      </c>
      <c r="AO21" s="148">
        <f t="shared" si="0"/>
        <v>326.32310713235347</v>
      </c>
      <c r="AP21" s="610"/>
      <c r="AQ21" s="610"/>
      <c r="AR21" s="610"/>
      <c r="AS21" s="614"/>
      <c r="AT21" s="614"/>
      <c r="AU21" s="614"/>
    </row>
    <row r="22" spans="1:72" customFormat="1" ht="16.350000000000001" customHeight="1" x14ac:dyDescent="0.25">
      <c r="A22" s="631" t="s">
        <v>57</v>
      </c>
      <c r="B22" s="255" t="s">
        <v>56</v>
      </c>
      <c r="C22" s="600"/>
      <c r="D22" s="111" t="s">
        <v>171</v>
      </c>
      <c r="E22" s="111"/>
      <c r="F22" s="111"/>
      <c r="G22" s="333" t="s">
        <v>313</v>
      </c>
      <c r="H22" s="23">
        <v>3707.5984159024119</v>
      </c>
      <c r="I22" s="23">
        <v>3503.6382524156593</v>
      </c>
      <c r="J22" s="23">
        <v>3441.6872876995731</v>
      </c>
      <c r="K22" s="23">
        <v>3526.8088198575174</v>
      </c>
      <c r="L22" s="23">
        <v>3461.4304914637191</v>
      </c>
      <c r="M22" s="23">
        <v>3591.3838352896728</v>
      </c>
      <c r="N22" s="23">
        <v>3647.8979168686906</v>
      </c>
      <c r="O22" s="23">
        <v>3807.547717517652</v>
      </c>
      <c r="P22" s="23">
        <v>3956.3160647016157</v>
      </c>
      <c r="Q22" s="23">
        <v>4172.9052553569018</v>
      </c>
      <c r="R22" s="23">
        <v>4201.684635490541</v>
      </c>
      <c r="S22" s="23">
        <v>4100.512560809434</v>
      </c>
      <c r="T22" s="23">
        <v>4187.2149012471236</v>
      </c>
      <c r="U22" s="23">
        <v>4158.2760664454945</v>
      </c>
      <c r="V22" s="23">
        <v>4270.5429080822323</v>
      </c>
      <c r="W22" s="23">
        <v>4129.0793094909441</v>
      </c>
      <c r="X22" s="23">
        <v>4686.9625098404777</v>
      </c>
      <c r="Y22" s="23">
        <v>4992.8176550779681</v>
      </c>
      <c r="Z22" s="23">
        <v>5374.3228275574238</v>
      </c>
      <c r="AA22" s="23">
        <v>5071.7582501666166</v>
      </c>
      <c r="AB22" s="23">
        <v>4976.4743367273222</v>
      </c>
      <c r="AC22" s="23">
        <v>4763.2553828768087</v>
      </c>
      <c r="AD22" s="23">
        <v>4754.571806593146</v>
      </c>
      <c r="AE22" s="23">
        <v>4758.2277278453093</v>
      </c>
      <c r="AF22" s="23">
        <v>4762.3579194598888</v>
      </c>
      <c r="AG22" s="23">
        <v>4845.6568674258524</v>
      </c>
      <c r="AH22" s="23">
        <v>4798.0759025382213</v>
      </c>
      <c r="AI22" s="23">
        <v>4885.5602295563713</v>
      </c>
      <c r="AJ22" s="23">
        <v>4944.8296095501819</v>
      </c>
      <c r="AK22" s="23">
        <v>4797.6728580269255</v>
      </c>
      <c r="AL22" s="23">
        <v>4606.2946687160884</v>
      </c>
      <c r="AM22" s="23">
        <v>4730.4096442908367</v>
      </c>
      <c r="AN22" s="23">
        <v>4783.0270845448094</v>
      </c>
      <c r="AO22" s="23">
        <v>4647.5611873428188</v>
      </c>
      <c r="AP22" s="610"/>
      <c r="AQ22" s="610"/>
      <c r="AR22" s="610"/>
      <c r="AS22" s="614"/>
      <c r="AT22" s="614"/>
      <c r="AU22" s="614"/>
    </row>
    <row r="23" spans="1:72" customFormat="1" ht="16.350000000000001" customHeight="1" x14ac:dyDescent="0.25">
      <c r="A23" s="252"/>
      <c r="B23" s="255"/>
      <c r="C23" s="580"/>
      <c r="D23" s="109"/>
      <c r="E23" s="109"/>
      <c r="F23" s="109"/>
      <c r="G23" s="17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610"/>
      <c r="AQ23" s="610"/>
      <c r="AR23" s="610"/>
      <c r="AS23" s="614"/>
      <c r="AT23" s="614"/>
      <c r="AU23" s="614"/>
    </row>
    <row r="24" spans="1:72" s="293" customFormat="1" ht="38.25" customHeight="1" x14ac:dyDescent="0.4">
      <c r="A24" s="260"/>
      <c r="B24" s="254"/>
      <c r="C24" s="294"/>
      <c r="D24" s="463" t="s">
        <v>261</v>
      </c>
      <c r="E24" s="294"/>
      <c r="F24" s="294"/>
      <c r="G24" s="292"/>
      <c r="H24" s="449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</row>
    <row r="25" spans="1:72" s="462" customFormat="1" ht="21.75" customHeight="1" x14ac:dyDescent="0.25">
      <c r="A25" s="632"/>
      <c r="B25" s="564" t="s">
        <v>56</v>
      </c>
      <c r="C25" s="458"/>
      <c r="D25" s="457"/>
      <c r="E25" s="458"/>
      <c r="F25" s="458"/>
      <c r="G25" s="459"/>
      <c r="H25" s="460">
        <v>1990</v>
      </c>
      <c r="I25" s="461">
        <v>1991</v>
      </c>
      <c r="J25" s="461">
        <v>1992</v>
      </c>
      <c r="K25" s="461">
        <v>1993</v>
      </c>
      <c r="L25" s="461">
        <v>1994</v>
      </c>
      <c r="M25" s="461">
        <v>1995</v>
      </c>
      <c r="N25" s="461">
        <v>1996</v>
      </c>
      <c r="O25" s="461">
        <v>1997</v>
      </c>
      <c r="P25" s="461">
        <v>1998</v>
      </c>
      <c r="Q25" s="461">
        <v>1999</v>
      </c>
      <c r="R25" s="461">
        <v>2000</v>
      </c>
      <c r="S25" s="461">
        <v>2001</v>
      </c>
      <c r="T25" s="461">
        <v>2002</v>
      </c>
      <c r="U25" s="461">
        <v>2003</v>
      </c>
      <c r="V25" s="461">
        <v>2004</v>
      </c>
      <c r="W25" s="461">
        <v>2005</v>
      </c>
      <c r="X25" s="461">
        <v>2006</v>
      </c>
      <c r="Y25" s="461">
        <v>2007</v>
      </c>
      <c r="Z25" s="461">
        <v>2008</v>
      </c>
      <c r="AA25" s="461">
        <v>2009</v>
      </c>
      <c r="AB25" s="461">
        <v>2010</v>
      </c>
      <c r="AC25" s="461">
        <v>2011</v>
      </c>
      <c r="AD25" s="461">
        <v>2012</v>
      </c>
      <c r="AE25" s="461">
        <v>2013</v>
      </c>
      <c r="AF25" s="461">
        <v>2014</v>
      </c>
      <c r="AG25" s="461">
        <v>2015</v>
      </c>
      <c r="AH25" s="461">
        <v>2016</v>
      </c>
      <c r="AI25" s="461">
        <v>2017</v>
      </c>
      <c r="AJ25" s="461">
        <v>2018</v>
      </c>
      <c r="AK25" s="461">
        <v>2019</v>
      </c>
      <c r="AL25" s="461">
        <v>2020</v>
      </c>
      <c r="AM25" s="461">
        <v>2021</v>
      </c>
      <c r="AN25" s="461">
        <v>2022</v>
      </c>
      <c r="AO25" s="461">
        <v>2023</v>
      </c>
      <c r="AP25" s="461"/>
      <c r="AQ25" s="461"/>
      <c r="AR25" s="461"/>
      <c r="AS25" s="461"/>
      <c r="AT25" s="461"/>
      <c r="AU25" s="461"/>
      <c r="AV25" s="461"/>
    </row>
    <row r="26" spans="1:72" s="16" customFormat="1" ht="24" customHeight="1" x14ac:dyDescent="0.25">
      <c r="A26" s="248"/>
      <c r="B26" s="254" t="s">
        <v>56</v>
      </c>
      <c r="C26" s="621"/>
      <c r="D26" s="621" t="str">
        <f>$D$3</f>
        <v>Söguleg losun | Historical Emissions</v>
      </c>
      <c r="E26" s="621"/>
      <c r="F26" s="621"/>
      <c r="G26" s="621"/>
      <c r="H26" s="154"/>
      <c r="I26" s="16" t="s">
        <v>56</v>
      </c>
      <c r="J26" s="155"/>
      <c r="K26" s="156"/>
      <c r="L26" s="153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</row>
    <row r="27" spans="1:72" s="24" customFormat="1" ht="15" customHeight="1" x14ac:dyDescent="0.25">
      <c r="A27" s="252" t="s">
        <v>58</v>
      </c>
      <c r="B27" s="254" t="s">
        <v>56</v>
      </c>
      <c r="C27" s="9"/>
      <c r="D27" s="109" t="s">
        <v>6</v>
      </c>
      <c r="E27" s="109" t="s">
        <v>173</v>
      </c>
      <c r="G27" s="175" t="s">
        <v>312</v>
      </c>
      <c r="H27" s="22">
        <v>760.43743715697804</v>
      </c>
      <c r="I27" s="22">
        <v>738.54790545981575</v>
      </c>
      <c r="J27" s="22">
        <v>817.72261535831558</v>
      </c>
      <c r="K27" s="22">
        <v>875.35407857239727</v>
      </c>
      <c r="L27" s="22">
        <v>858.59988349043726</v>
      </c>
      <c r="M27" s="22">
        <v>921.58739468062106</v>
      </c>
      <c r="N27" s="22">
        <v>941.8355393211059</v>
      </c>
      <c r="O27" s="22">
        <v>928.43528249451151</v>
      </c>
      <c r="P27" s="22">
        <v>913.7304185060168</v>
      </c>
      <c r="Q27" s="22">
        <v>896.73666811718942</v>
      </c>
      <c r="R27" s="22">
        <v>891.62636675738338</v>
      </c>
      <c r="S27" s="22">
        <v>735.43512282644895</v>
      </c>
      <c r="T27" s="22">
        <v>833.44738299320807</v>
      </c>
      <c r="U27" s="22">
        <v>800.59763840041353</v>
      </c>
      <c r="V27" s="22">
        <v>822.10422373737845</v>
      </c>
      <c r="W27" s="22">
        <v>742.27579695757936</v>
      </c>
      <c r="X27" s="22">
        <v>676.16624793131371</v>
      </c>
      <c r="Y27" s="22">
        <v>768.90031104164586</v>
      </c>
      <c r="Z27" s="22">
        <v>706.67813037021858</v>
      </c>
      <c r="AA27" s="22">
        <v>762.70393720745039</v>
      </c>
      <c r="AB27" s="22">
        <v>726.56824505484042</v>
      </c>
      <c r="AC27" s="22">
        <v>657.20260984912954</v>
      </c>
      <c r="AD27" s="22">
        <v>651.37378056662806</v>
      </c>
      <c r="AE27" s="22">
        <v>614.72353826059737</v>
      </c>
      <c r="AF27" s="22">
        <v>606.24731041801465</v>
      </c>
      <c r="AG27" s="22">
        <v>621.21740588116916</v>
      </c>
      <c r="AH27" s="22">
        <v>518.76690503112491</v>
      </c>
      <c r="AI27" s="22">
        <v>530.38142924834813</v>
      </c>
      <c r="AJ27" s="22">
        <v>546.90019133575004</v>
      </c>
      <c r="AK27" s="22">
        <v>518.36261174209733</v>
      </c>
      <c r="AL27" s="22">
        <v>509.49421478812258</v>
      </c>
      <c r="AM27" s="22">
        <v>569.42147138918847</v>
      </c>
      <c r="AN27" s="22">
        <v>480.50043943615663</v>
      </c>
      <c r="AO27" s="22">
        <v>485.3352147538011</v>
      </c>
      <c r="AP27" s="613"/>
      <c r="AQ27" s="615"/>
      <c r="AR27" s="613"/>
      <c r="AS27" s="615"/>
      <c r="AT27" s="613"/>
      <c r="AU27" s="615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72" s="24" customFormat="1" ht="15" customHeight="1" x14ac:dyDescent="0.25">
      <c r="A28" s="252" t="s">
        <v>59</v>
      </c>
      <c r="B28" s="254" t="s">
        <v>56</v>
      </c>
      <c r="C28" s="9"/>
      <c r="D28" s="109" t="s">
        <v>7</v>
      </c>
      <c r="E28" s="109" t="s">
        <v>196</v>
      </c>
      <c r="G28" s="175" t="s">
        <v>312</v>
      </c>
      <c r="H28" s="22">
        <v>530.7009231362897</v>
      </c>
      <c r="I28" s="22">
        <v>549.17187398165254</v>
      </c>
      <c r="J28" s="22">
        <v>563.626051363991</v>
      </c>
      <c r="K28" s="22">
        <v>560.43953147724108</v>
      </c>
      <c r="L28" s="22">
        <v>568.39890359988328</v>
      </c>
      <c r="M28" s="22">
        <v>558.16030073013405</v>
      </c>
      <c r="N28" s="22">
        <v>538.78089172673845</v>
      </c>
      <c r="O28" s="22">
        <v>570.04492803345556</v>
      </c>
      <c r="P28" s="22">
        <v>578.62328150873111</v>
      </c>
      <c r="Q28" s="22">
        <v>604.18995374653491</v>
      </c>
      <c r="R28" s="22">
        <v>615.73403505372619</v>
      </c>
      <c r="S28" s="22">
        <v>622.28592329183994</v>
      </c>
      <c r="T28" s="22">
        <v>631.124057560339</v>
      </c>
      <c r="U28" s="22">
        <v>709.90818094417125</v>
      </c>
      <c r="V28" s="22">
        <v>746.64880758060849</v>
      </c>
      <c r="W28" s="22">
        <v>774.98717675893204</v>
      </c>
      <c r="X28" s="22">
        <v>883.45643465810895</v>
      </c>
      <c r="Y28" s="22">
        <v>914.96673008540438</v>
      </c>
      <c r="Z28" s="22">
        <v>861.23256083911201</v>
      </c>
      <c r="AA28" s="22">
        <v>862.03000676944737</v>
      </c>
      <c r="AB28" s="22">
        <v>814.50613831283817</v>
      </c>
      <c r="AC28" s="22">
        <v>796.11839555550409</v>
      </c>
      <c r="AD28" s="22">
        <v>790.6110668506775</v>
      </c>
      <c r="AE28" s="22">
        <v>805.08699020156052</v>
      </c>
      <c r="AF28" s="22">
        <v>804.21870801816067</v>
      </c>
      <c r="AG28" s="22">
        <v>826.77387826647612</v>
      </c>
      <c r="AH28" s="22">
        <v>901.82935475513204</v>
      </c>
      <c r="AI28" s="22">
        <v>951.38401673442957</v>
      </c>
      <c r="AJ28" s="22">
        <v>976.87494552460259</v>
      </c>
      <c r="AK28" s="22">
        <v>956.41207127039218</v>
      </c>
      <c r="AL28" s="22">
        <v>830.28702289015064</v>
      </c>
      <c r="AM28" s="22">
        <v>859.18959264190892</v>
      </c>
      <c r="AN28" s="22">
        <v>926.01224577878793</v>
      </c>
      <c r="AO28" s="22">
        <v>921.28481276391403</v>
      </c>
      <c r="AP28" s="613"/>
      <c r="AQ28" s="615"/>
      <c r="AR28" s="613"/>
      <c r="AS28" s="615"/>
      <c r="AT28" s="613"/>
      <c r="AU28" s="615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72" s="164" customFormat="1" ht="15" customHeight="1" x14ac:dyDescent="0.2">
      <c r="A29" s="633" t="s">
        <v>103</v>
      </c>
      <c r="B29" s="254" t="s">
        <v>56</v>
      </c>
      <c r="C29" s="249"/>
      <c r="D29" s="201" t="s">
        <v>141</v>
      </c>
      <c r="E29" s="201" t="s">
        <v>339</v>
      </c>
      <c r="G29" s="196" t="s">
        <v>314</v>
      </c>
      <c r="H29" s="197">
        <v>412.88208020507892</v>
      </c>
      <c r="I29" s="197">
        <v>430.7534173393471</v>
      </c>
      <c r="J29" s="197">
        <v>443.42195495152623</v>
      </c>
      <c r="K29" s="197">
        <v>440.98328542376089</v>
      </c>
      <c r="L29" s="197">
        <v>447.82593515262602</v>
      </c>
      <c r="M29" s="197">
        <v>444.44045390177808</v>
      </c>
      <c r="N29" s="197">
        <v>445.76535797121687</v>
      </c>
      <c r="O29" s="197">
        <v>457.53476949292246</v>
      </c>
      <c r="P29" s="197">
        <v>473.93144145916375</v>
      </c>
      <c r="Q29" s="197">
        <v>489.2355336093907</v>
      </c>
      <c r="R29" s="197">
        <v>490.33227707311943</v>
      </c>
      <c r="S29" s="197">
        <v>495.78012421538534</v>
      </c>
      <c r="T29" s="197">
        <v>502.91895913819468</v>
      </c>
      <c r="U29" s="197">
        <v>534.80202457840346</v>
      </c>
      <c r="V29" s="197">
        <v>554.8984973500751</v>
      </c>
      <c r="W29" s="197">
        <v>576.85850208753277</v>
      </c>
      <c r="X29" s="197">
        <v>586.69811922352642</v>
      </c>
      <c r="Y29" s="197">
        <v>597.23508209158058</v>
      </c>
      <c r="Z29" s="197">
        <v>586.58077216992103</v>
      </c>
      <c r="AA29" s="197">
        <v>576.15370187279711</v>
      </c>
      <c r="AB29" s="197">
        <v>577.06878019018598</v>
      </c>
      <c r="AC29" s="197">
        <v>580.01429415689915</v>
      </c>
      <c r="AD29" s="197">
        <v>562.35596902730788</v>
      </c>
      <c r="AE29" s="197">
        <v>555.71005192786629</v>
      </c>
      <c r="AF29" s="197">
        <v>530.91971362937056</v>
      </c>
      <c r="AG29" s="197">
        <v>526.91148253850452</v>
      </c>
      <c r="AH29" s="197">
        <v>587.21370434556377</v>
      </c>
      <c r="AI29" s="197">
        <v>656.76894708275597</v>
      </c>
      <c r="AJ29" s="197">
        <v>696.01047400240532</v>
      </c>
      <c r="AK29" s="197">
        <v>653.73059753436735</v>
      </c>
      <c r="AL29" s="197">
        <v>559.38917269096407</v>
      </c>
      <c r="AM29" s="197">
        <v>545.4648620879492</v>
      </c>
      <c r="AN29" s="197">
        <v>579.69630083770664</v>
      </c>
      <c r="AO29" s="197">
        <v>569.60942306882748</v>
      </c>
      <c r="AP29" s="212"/>
      <c r="AR29" s="213"/>
    </row>
    <row r="30" spans="1:72" s="164" customFormat="1" ht="15" customHeight="1" x14ac:dyDescent="0.2">
      <c r="A30" s="633" t="s">
        <v>104</v>
      </c>
      <c r="B30" s="254" t="s">
        <v>56</v>
      </c>
      <c r="C30" s="249"/>
      <c r="D30" s="201" t="s">
        <v>142</v>
      </c>
      <c r="E30" s="201" t="s">
        <v>340</v>
      </c>
      <c r="G30" s="196" t="s">
        <v>314</v>
      </c>
      <c r="H30" s="197">
        <v>29.431321680806391</v>
      </c>
      <c r="I30" s="197">
        <v>29.635245002146675</v>
      </c>
      <c r="J30" s="197">
        <v>29.862408202847753</v>
      </c>
      <c r="K30" s="197">
        <v>30.076350549734268</v>
      </c>
      <c r="L30" s="197">
        <v>31.088018244144731</v>
      </c>
      <c r="M30" s="197">
        <v>30.831780755764971</v>
      </c>
      <c r="N30" s="197">
        <v>28.022911702617208</v>
      </c>
      <c r="O30" s="197">
        <v>30.629710172576939</v>
      </c>
      <c r="P30" s="197">
        <v>30.728774839882554</v>
      </c>
      <c r="Q30" s="197">
        <v>32.972506670235497</v>
      </c>
      <c r="R30" s="197">
        <v>35.2352656618609</v>
      </c>
      <c r="S30" s="197">
        <v>36.816691462963362</v>
      </c>
      <c r="T30" s="197">
        <v>37.523438475125523</v>
      </c>
      <c r="U30" s="197">
        <v>46.091771838130178</v>
      </c>
      <c r="V30" s="197">
        <v>49.951699325941973</v>
      </c>
      <c r="W30" s="197">
        <v>52.805153533228363</v>
      </c>
      <c r="X30" s="197">
        <v>85.633151674394043</v>
      </c>
      <c r="Y30" s="197">
        <v>99.876125290425989</v>
      </c>
      <c r="Z30" s="197">
        <v>99.747027190230213</v>
      </c>
      <c r="AA30" s="197">
        <v>88.54690313881899</v>
      </c>
      <c r="AB30" s="197">
        <v>93.929651295026289</v>
      </c>
      <c r="AC30" s="197">
        <v>99.823212050876052</v>
      </c>
      <c r="AD30" s="197">
        <v>96.750303263618562</v>
      </c>
      <c r="AE30" s="197">
        <v>92.766773071736353</v>
      </c>
      <c r="AF30" s="197">
        <v>80.542417823895846</v>
      </c>
      <c r="AG30" s="197">
        <v>74.659881406766601</v>
      </c>
      <c r="AH30" s="197">
        <v>87.462614741201463</v>
      </c>
      <c r="AI30" s="197">
        <v>83.329900161205359</v>
      </c>
      <c r="AJ30" s="197">
        <v>71.329702165618016</v>
      </c>
      <c r="AK30" s="197">
        <v>88.754022372725828</v>
      </c>
      <c r="AL30" s="197">
        <v>87.180553984501827</v>
      </c>
      <c r="AM30" s="197">
        <v>94.046149518822318</v>
      </c>
      <c r="AN30" s="197">
        <v>102.5033642652804</v>
      </c>
      <c r="AO30" s="197">
        <v>103.10058496714461</v>
      </c>
      <c r="AP30" s="212"/>
      <c r="AR30" s="213"/>
    </row>
    <row r="31" spans="1:72" s="164" customFormat="1" ht="15" customHeight="1" x14ac:dyDescent="0.2">
      <c r="A31" s="633" t="s">
        <v>105</v>
      </c>
      <c r="B31" s="254" t="s">
        <v>56</v>
      </c>
      <c r="C31" s="249"/>
      <c r="D31" s="201" t="s">
        <v>143</v>
      </c>
      <c r="E31" s="201" t="s">
        <v>341</v>
      </c>
      <c r="G31" s="196" t="s">
        <v>314</v>
      </c>
      <c r="H31" s="197">
        <v>86.009181242848626</v>
      </c>
      <c r="I31" s="197">
        <v>86.892106941965295</v>
      </c>
      <c r="J31" s="197">
        <v>87.955962276965835</v>
      </c>
      <c r="K31" s="197">
        <v>86.906211343870751</v>
      </c>
      <c r="L31" s="197">
        <v>86.95611754755997</v>
      </c>
      <c r="M31" s="197">
        <v>80.336553795365191</v>
      </c>
      <c r="N31" s="197">
        <v>62.381455944750535</v>
      </c>
      <c r="O31" s="197">
        <v>79.215757710932579</v>
      </c>
      <c r="P31" s="197">
        <v>71.473223001728314</v>
      </c>
      <c r="Q31" s="197">
        <v>79.434929626978843</v>
      </c>
      <c r="R31" s="197">
        <v>87.479256876433524</v>
      </c>
      <c r="S31" s="197">
        <v>87.000177440178106</v>
      </c>
      <c r="T31" s="197">
        <v>87.999258251312625</v>
      </c>
      <c r="U31" s="197">
        <v>126.25364441925866</v>
      </c>
      <c r="V31" s="197">
        <v>138.88660815496013</v>
      </c>
      <c r="W31" s="197">
        <v>141.87587841738133</v>
      </c>
      <c r="X31" s="197">
        <v>205.34690825761092</v>
      </c>
      <c r="Y31" s="197">
        <v>210.32836802812295</v>
      </c>
      <c r="Z31" s="197">
        <v>166.15322707941306</v>
      </c>
      <c r="AA31" s="197">
        <v>188.03610785883924</v>
      </c>
      <c r="AB31" s="197">
        <v>134.11200111612618</v>
      </c>
      <c r="AC31" s="197">
        <v>106.98519830335276</v>
      </c>
      <c r="AD31" s="197">
        <v>122.01989510934096</v>
      </c>
      <c r="AE31" s="197">
        <v>147.21046628322236</v>
      </c>
      <c r="AF31" s="197">
        <v>183.30581455505398</v>
      </c>
      <c r="AG31" s="197">
        <v>215.54747962355907</v>
      </c>
      <c r="AH31" s="197">
        <v>216.93405615980555</v>
      </c>
      <c r="AI31" s="197">
        <v>206.69560556814713</v>
      </c>
      <c r="AJ31" s="197">
        <v>201.38470419601433</v>
      </c>
      <c r="AK31" s="197">
        <v>212.26811271427925</v>
      </c>
      <c r="AL31" s="197">
        <v>182.44884328011744</v>
      </c>
      <c r="AM31" s="197">
        <v>218.56420203253555</v>
      </c>
      <c r="AN31" s="197">
        <v>242.60748565578882</v>
      </c>
      <c r="AO31" s="197">
        <v>247.35026408964649</v>
      </c>
      <c r="AP31" s="212"/>
      <c r="AR31" s="213"/>
    </row>
    <row r="32" spans="1:72" s="164" customFormat="1" ht="15" customHeight="1" x14ac:dyDescent="0.2">
      <c r="A32" s="633" t="s">
        <v>106</v>
      </c>
      <c r="B32" s="254" t="s">
        <v>56</v>
      </c>
      <c r="C32" s="249"/>
      <c r="D32" s="201" t="s">
        <v>144</v>
      </c>
      <c r="E32" s="201" t="s">
        <v>342</v>
      </c>
      <c r="G32" s="196" t="s">
        <v>314</v>
      </c>
      <c r="H32" s="197">
        <v>2.3783400075558552</v>
      </c>
      <c r="I32" s="197">
        <v>1.8911046981933961</v>
      </c>
      <c r="J32" s="197">
        <v>2.385725932651197</v>
      </c>
      <c r="K32" s="197">
        <v>2.4736841598751491</v>
      </c>
      <c r="L32" s="197">
        <v>2.5288326555525895</v>
      </c>
      <c r="M32" s="197">
        <v>2.5515122772257826</v>
      </c>
      <c r="N32" s="197">
        <v>2.6111661081538293</v>
      </c>
      <c r="O32" s="197">
        <v>2.6646906570236166</v>
      </c>
      <c r="P32" s="197">
        <v>2.4898422079564542</v>
      </c>
      <c r="Q32" s="197">
        <v>2.5469838399298927</v>
      </c>
      <c r="R32" s="197">
        <v>2.6872354423123475</v>
      </c>
      <c r="S32" s="197">
        <v>2.6889301733130897</v>
      </c>
      <c r="T32" s="197">
        <v>2.6824016957062171</v>
      </c>
      <c r="U32" s="197">
        <v>2.7607401083789553</v>
      </c>
      <c r="V32" s="197">
        <v>2.9120027496312915</v>
      </c>
      <c r="W32" s="197">
        <v>3.4476427207896054</v>
      </c>
      <c r="X32" s="197">
        <v>5.778255502577478</v>
      </c>
      <c r="Y32" s="197">
        <v>7.527154675274903</v>
      </c>
      <c r="Z32" s="197">
        <v>8.7515343995475661</v>
      </c>
      <c r="AA32" s="197">
        <v>9.2932938989919904</v>
      </c>
      <c r="AB32" s="197">
        <v>9.3957057114997156</v>
      </c>
      <c r="AC32" s="197">
        <v>9.2956910443761824</v>
      </c>
      <c r="AD32" s="197">
        <v>9.4848994504100865</v>
      </c>
      <c r="AE32" s="197">
        <v>9.3996989187356128</v>
      </c>
      <c r="AF32" s="197">
        <v>9.4507620098401866</v>
      </c>
      <c r="AG32" s="197">
        <v>9.6550346976459913</v>
      </c>
      <c r="AH32" s="197">
        <v>10.218979508561217</v>
      </c>
      <c r="AI32" s="197">
        <v>4.5895639223211173</v>
      </c>
      <c r="AJ32" s="197">
        <v>8.1500651605648446</v>
      </c>
      <c r="AK32" s="197">
        <v>1.6593386490197766</v>
      </c>
      <c r="AL32" s="197">
        <v>1.2684529345672912</v>
      </c>
      <c r="AM32" s="197">
        <v>1.1143790026018725</v>
      </c>
      <c r="AN32" s="197">
        <v>1.2050950200120858</v>
      </c>
      <c r="AO32" s="197">
        <v>1.2245406382953721</v>
      </c>
      <c r="AP32" s="212"/>
      <c r="AR32" s="213"/>
    </row>
    <row r="33" spans="1:72" s="24" customFormat="1" ht="15" customHeight="1" x14ac:dyDescent="0.25">
      <c r="A33" s="252" t="s">
        <v>60</v>
      </c>
      <c r="B33" s="254" t="s">
        <v>56</v>
      </c>
      <c r="C33" s="9"/>
      <c r="D33" s="109" t="s">
        <v>8</v>
      </c>
      <c r="E33" s="176" t="s">
        <v>235</v>
      </c>
      <c r="G33" s="175" t="s">
        <v>312</v>
      </c>
      <c r="H33" s="22">
        <v>33.592689259466667</v>
      </c>
      <c r="I33" s="22">
        <v>32.201725389066667</v>
      </c>
      <c r="J33" s="22">
        <v>27.224410482266663</v>
      </c>
      <c r="K33" s="22">
        <v>26.429316349733334</v>
      </c>
      <c r="L33" s="22">
        <v>24.585201250133338</v>
      </c>
      <c r="M33" s="22">
        <v>30.243199507600004</v>
      </c>
      <c r="N33" s="22">
        <v>34.290320180666669</v>
      </c>
      <c r="O33" s="22">
        <v>32.124993649733341</v>
      </c>
      <c r="P33" s="22">
        <v>33.773912666933334</v>
      </c>
      <c r="Q33" s="22">
        <v>32.33894076213334</v>
      </c>
      <c r="R33" s="22">
        <v>28.45911297426667</v>
      </c>
      <c r="S33" s="22">
        <v>25.02166617</v>
      </c>
      <c r="T33" s="22">
        <v>21.891146296399995</v>
      </c>
      <c r="U33" s="22">
        <v>22.175639411333332</v>
      </c>
      <c r="V33" s="22">
        <v>23.50699608213333</v>
      </c>
      <c r="W33" s="22">
        <v>26.205441711733332</v>
      </c>
      <c r="X33" s="22">
        <v>28.3528346704</v>
      </c>
      <c r="Y33" s="22">
        <v>22.219344058533331</v>
      </c>
      <c r="Z33" s="22">
        <v>26.434971138933332</v>
      </c>
      <c r="AA33" s="22">
        <v>21.952995185866662</v>
      </c>
      <c r="AB33" s="22">
        <v>21.298554827999997</v>
      </c>
      <c r="AC33" s="22">
        <v>20.433647872000002</v>
      </c>
      <c r="AD33" s="22">
        <v>21.0236773996</v>
      </c>
      <c r="AE33" s="22">
        <v>19.765428672133336</v>
      </c>
      <c r="AF33" s="22">
        <v>19.698405336533337</v>
      </c>
      <c r="AG33" s="22">
        <v>20.597434940666666</v>
      </c>
      <c r="AH33" s="22">
        <v>22.746395399866667</v>
      </c>
      <c r="AI33" s="22">
        <v>23.133315475600003</v>
      </c>
      <c r="AJ33" s="22">
        <v>24.770402378666667</v>
      </c>
      <c r="AK33" s="22">
        <v>27.967275005594509</v>
      </c>
      <c r="AL33" s="22">
        <v>13.2458178014416</v>
      </c>
      <c r="AM33" s="22">
        <v>20.8932966504</v>
      </c>
      <c r="AN33" s="22">
        <v>24.268683868533337</v>
      </c>
      <c r="AO33" s="22">
        <v>22.510975184533333</v>
      </c>
      <c r="AP33" s="613"/>
      <c r="AQ33" s="615"/>
      <c r="AR33" s="613"/>
      <c r="AS33" s="615"/>
      <c r="AT33" s="613"/>
      <c r="AU33" s="615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</row>
    <row r="34" spans="1:72" s="24" customFormat="1" ht="15" customHeight="1" x14ac:dyDescent="0.25">
      <c r="A34" s="252" t="s">
        <v>61</v>
      </c>
      <c r="B34" s="254" t="s">
        <v>56</v>
      </c>
      <c r="C34" s="9"/>
      <c r="D34" s="109" t="s">
        <v>9</v>
      </c>
      <c r="E34" s="176" t="s">
        <v>236</v>
      </c>
      <c r="G34" s="175" t="s">
        <v>312</v>
      </c>
      <c r="H34" s="22">
        <v>32.90600746666972</v>
      </c>
      <c r="I34" s="22">
        <v>23.118334138098895</v>
      </c>
      <c r="J34" s="22">
        <v>26.214323179199816</v>
      </c>
      <c r="K34" s="22">
        <v>32.019149494338876</v>
      </c>
      <c r="L34" s="22">
        <v>26.952358460372999</v>
      </c>
      <c r="M34" s="22">
        <v>37.524068872575825</v>
      </c>
      <c r="N34" s="22">
        <v>44.252911984973828</v>
      </c>
      <c r="O34" s="22">
        <v>26.941495555809812</v>
      </c>
      <c r="P34" s="22">
        <v>20.668408117064299</v>
      </c>
      <c r="Q34" s="22">
        <v>18.20758204949944</v>
      </c>
      <c r="R34" s="22">
        <v>12.662544690953844</v>
      </c>
      <c r="S34" s="22">
        <v>20.64303991064217</v>
      </c>
      <c r="T34" s="22">
        <v>18.67809749364854</v>
      </c>
      <c r="U34" s="22">
        <v>34.257314086427598</v>
      </c>
      <c r="V34" s="22">
        <v>48.756120365330574</v>
      </c>
      <c r="W34" s="22">
        <v>22.602848961105504</v>
      </c>
      <c r="X34" s="22">
        <v>51.559117007313546</v>
      </c>
      <c r="Y34" s="22">
        <v>61.411857554830583</v>
      </c>
      <c r="Z34" s="22">
        <v>55.369715839883263</v>
      </c>
      <c r="AA34" s="22">
        <v>31.752075715851465</v>
      </c>
      <c r="AB34" s="22">
        <v>35.307139818880238</v>
      </c>
      <c r="AC34" s="22">
        <v>18.702742389807792</v>
      </c>
      <c r="AD34" s="22">
        <v>13.816453576776222</v>
      </c>
      <c r="AE34" s="22">
        <v>15.811424417433498</v>
      </c>
      <c r="AF34" s="22">
        <v>20.451208760690278</v>
      </c>
      <c r="AG34" s="22">
        <v>26.634994300275558</v>
      </c>
      <c r="AH34" s="22">
        <v>27.818002298841321</v>
      </c>
      <c r="AI34" s="22">
        <v>31.64325842576952</v>
      </c>
      <c r="AJ34" s="22">
        <v>43.469950045502642</v>
      </c>
      <c r="AK34" s="22">
        <v>53.20264126363837</v>
      </c>
      <c r="AL34" s="22">
        <v>25.153031456029371</v>
      </c>
      <c r="AM34" s="22">
        <v>17.531236914920605</v>
      </c>
      <c r="AN34" s="22">
        <v>24.542971240693355</v>
      </c>
      <c r="AO34" s="22">
        <v>16.847724414769708</v>
      </c>
      <c r="AP34" s="613"/>
      <c r="AQ34" s="615"/>
      <c r="AR34" s="613"/>
      <c r="AS34" s="615"/>
      <c r="AT34" s="613"/>
      <c r="AU34" s="615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1:72" s="24" customFormat="1" ht="15" customHeight="1" x14ac:dyDescent="0.25">
      <c r="A35" s="252" t="s">
        <v>109</v>
      </c>
      <c r="B35" s="254" t="s">
        <v>56</v>
      </c>
      <c r="C35" s="9"/>
      <c r="D35" s="109" t="s">
        <v>10</v>
      </c>
      <c r="E35" s="176" t="s">
        <v>177</v>
      </c>
      <c r="G35" s="175" t="s">
        <v>312</v>
      </c>
      <c r="H35" s="22">
        <f t="shared" ref="H35" si="1">SUM(H36:H38)</f>
        <v>132.69956180646039</v>
      </c>
      <c r="I35" s="22">
        <f t="shared" ref="I35:AO35" si="2">SUM(I36:I38)</f>
        <v>126.61678523119784</v>
      </c>
      <c r="J35" s="22">
        <f t="shared" si="2"/>
        <v>118.00097418318089</v>
      </c>
      <c r="K35" s="22">
        <f t="shared" si="2"/>
        <v>127.39940553726262</v>
      </c>
      <c r="L35" s="22">
        <f t="shared" si="2"/>
        <v>129.83810631241099</v>
      </c>
      <c r="M35" s="22">
        <f t="shared" si="2"/>
        <v>163.28813671537699</v>
      </c>
      <c r="N35" s="22">
        <f t="shared" si="2"/>
        <v>158.35483371464707</v>
      </c>
      <c r="O35" s="22">
        <f t="shared" si="2"/>
        <v>190.80562569111964</v>
      </c>
      <c r="P35" s="22">
        <f t="shared" si="2"/>
        <v>192.96132537344991</v>
      </c>
      <c r="Q35" s="22">
        <f t="shared" si="2"/>
        <v>211.5031377140119</v>
      </c>
      <c r="R35" s="22">
        <f t="shared" si="2"/>
        <v>216.21632875366109</v>
      </c>
      <c r="S35" s="22">
        <f t="shared" si="2"/>
        <v>211.51012539531609</v>
      </c>
      <c r="T35" s="22">
        <f t="shared" si="2"/>
        <v>198.07630808808773</v>
      </c>
      <c r="U35" s="22">
        <f t="shared" si="2"/>
        <v>181.57113148074808</v>
      </c>
      <c r="V35" s="22">
        <f t="shared" si="2"/>
        <v>217.89668386268426</v>
      </c>
      <c r="W35" s="22">
        <f t="shared" si="2"/>
        <v>236.89254361749528</v>
      </c>
      <c r="X35" s="22">
        <f t="shared" si="2"/>
        <v>214.30164332811569</v>
      </c>
      <c r="Y35" s="22">
        <f t="shared" si="2"/>
        <v>215.83366248928385</v>
      </c>
      <c r="Z35" s="22">
        <f t="shared" si="2"/>
        <v>208.96156893666625</v>
      </c>
      <c r="AA35" s="22">
        <f t="shared" si="2"/>
        <v>145.57310735873384</v>
      </c>
      <c r="AB35" s="22">
        <f t="shared" si="2"/>
        <v>116.66251837871671</v>
      </c>
      <c r="AC35" s="22">
        <f t="shared" si="2"/>
        <v>106.724173287534</v>
      </c>
      <c r="AD35" s="22">
        <f t="shared" si="2"/>
        <v>102.82225724651585</v>
      </c>
      <c r="AE35" s="22">
        <f t="shared" si="2"/>
        <v>98.852644261966944</v>
      </c>
      <c r="AF35" s="22">
        <f t="shared" si="2"/>
        <v>117.37447230447313</v>
      </c>
      <c r="AG35" s="22">
        <f t="shared" si="2"/>
        <v>116.13287890779706</v>
      </c>
      <c r="AH35" s="22">
        <f t="shared" si="2"/>
        <v>134.94854641811298</v>
      </c>
      <c r="AI35" s="22">
        <f t="shared" si="2"/>
        <v>138.05064207733514</v>
      </c>
      <c r="AJ35" s="22">
        <f t="shared" si="2"/>
        <v>109.98053877254956</v>
      </c>
      <c r="AK35" s="22">
        <f t="shared" si="2"/>
        <v>86.903419069836744</v>
      </c>
      <c r="AL35" s="22">
        <f t="shared" si="2"/>
        <v>63.052941906921838</v>
      </c>
      <c r="AM35" s="22">
        <f t="shared" si="2"/>
        <v>60.294858741596478</v>
      </c>
      <c r="AN35" s="22">
        <f t="shared" si="2"/>
        <v>59.454653923532042</v>
      </c>
      <c r="AO35" s="22">
        <f t="shared" si="2"/>
        <v>74.887888616357046</v>
      </c>
      <c r="AP35" s="613"/>
      <c r="AQ35" s="615"/>
      <c r="AR35" s="613"/>
      <c r="AS35" s="615"/>
      <c r="AT35" s="613"/>
      <c r="AU35" s="615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</row>
    <row r="36" spans="1:72" s="164" customFormat="1" ht="15" customHeight="1" x14ac:dyDescent="0.2">
      <c r="A36" s="633" t="s">
        <v>62</v>
      </c>
      <c r="B36" s="250" t="s">
        <v>56</v>
      </c>
      <c r="C36" s="249"/>
      <c r="D36" s="201" t="s">
        <v>145</v>
      </c>
      <c r="E36" s="201" t="s">
        <v>343</v>
      </c>
      <c r="G36" s="196" t="s">
        <v>314</v>
      </c>
      <c r="H36" s="197">
        <v>67.942126831373386</v>
      </c>
      <c r="I36" s="197">
        <v>64.827747462388345</v>
      </c>
      <c r="J36" s="197">
        <v>60.416455375129807</v>
      </c>
      <c r="K36" s="197">
        <v>65.228448771206644</v>
      </c>
      <c r="L36" s="197">
        <v>66.477062671006507</v>
      </c>
      <c r="M36" s="197">
        <v>83.603465932731282</v>
      </c>
      <c r="N36" s="197">
        <v>81.077616611073111</v>
      </c>
      <c r="O36" s="197">
        <v>97.692410166003114</v>
      </c>
      <c r="P36" s="197">
        <v>98.796127610382058</v>
      </c>
      <c r="Q36" s="197">
        <v>108.28952870814406</v>
      </c>
      <c r="R36" s="197">
        <v>110.70268078669709</v>
      </c>
      <c r="S36" s="197">
        <v>108.29310639840138</v>
      </c>
      <c r="T36" s="197">
        <v>101.41499687873021</v>
      </c>
      <c r="U36" s="197">
        <v>92.932293278657212</v>
      </c>
      <c r="V36" s="197">
        <v>111.54164915203539</v>
      </c>
      <c r="W36" s="197">
        <v>121.24971166523579</v>
      </c>
      <c r="X36" s="197">
        <v>109.71523827568059</v>
      </c>
      <c r="Y36" s="197">
        <v>110.2912464071069</v>
      </c>
      <c r="Z36" s="197">
        <v>105.57763949310598</v>
      </c>
      <c r="AA36" s="197">
        <v>72.746964846935626</v>
      </c>
      <c r="AB36" s="197">
        <v>57.645534270846149</v>
      </c>
      <c r="AC36" s="197">
        <v>49.470512032901482</v>
      </c>
      <c r="AD36" s="197">
        <v>52.472194158781384</v>
      </c>
      <c r="AE36" s="197">
        <v>50.44722147314608</v>
      </c>
      <c r="AF36" s="197">
        <v>59.849391469346777</v>
      </c>
      <c r="AG36" s="197">
        <v>59.180363391230507</v>
      </c>
      <c r="AH36" s="197">
        <v>69.035097471570651</v>
      </c>
      <c r="AI36" s="197">
        <v>70.59979729994663</v>
      </c>
      <c r="AJ36" s="197">
        <v>56.258906652399084</v>
      </c>
      <c r="AK36" s="197">
        <v>43.017854185028192</v>
      </c>
      <c r="AL36" s="197">
        <v>22.41747971170841</v>
      </c>
      <c r="AM36" s="197">
        <v>34.582046854338998</v>
      </c>
      <c r="AN36" s="197">
        <v>36.300129178331858</v>
      </c>
      <c r="AO36" s="197">
        <v>52.869222558500233</v>
      </c>
      <c r="AP36" s="214"/>
    </row>
    <row r="37" spans="1:72" s="164" customFormat="1" ht="15" customHeight="1" x14ac:dyDescent="0.2">
      <c r="A37" s="633" t="s">
        <v>95</v>
      </c>
      <c r="B37" s="250" t="s">
        <v>56</v>
      </c>
      <c r="C37" s="249"/>
      <c r="D37" s="201" t="s">
        <v>146</v>
      </c>
      <c r="E37" s="201" t="s">
        <v>344</v>
      </c>
      <c r="G37" s="196" t="s">
        <v>314</v>
      </c>
      <c r="H37" s="197">
        <v>46.223217673071503</v>
      </c>
      <c r="I37" s="197">
        <v>44.104405057057775</v>
      </c>
      <c r="J37" s="197">
        <v>41.103260938108974</v>
      </c>
      <c r="K37" s="197">
        <v>44.377015066240467</v>
      </c>
      <c r="L37" s="197">
        <v>45.226487326997265</v>
      </c>
      <c r="M37" s="197">
        <v>56.87813120161843</v>
      </c>
      <c r="N37" s="197">
        <v>55.159714536591785</v>
      </c>
      <c r="O37" s="197">
        <v>66.463293845917192</v>
      </c>
      <c r="P37" s="197">
        <v>67.214188380139177</v>
      </c>
      <c r="Q37" s="197">
        <v>73.672854981623871</v>
      </c>
      <c r="R37" s="197">
        <v>75.314600081567889</v>
      </c>
      <c r="S37" s="197">
        <v>73.675288999563008</v>
      </c>
      <c r="T37" s="197">
        <v>68.995889511583229</v>
      </c>
      <c r="U37" s="197">
        <v>63.224832977903091</v>
      </c>
      <c r="V37" s="197">
        <v>75.885377288294166</v>
      </c>
      <c r="W37" s="197">
        <v>82.49008496612673</v>
      </c>
      <c r="X37" s="197">
        <v>74.642811130367662</v>
      </c>
      <c r="Y37" s="197">
        <v>75.034688018567792</v>
      </c>
      <c r="Z37" s="197">
        <v>71.827869383762405</v>
      </c>
      <c r="AA37" s="197">
        <v>49.492103765324728</v>
      </c>
      <c r="AB37" s="197">
        <v>39.218114044251834</v>
      </c>
      <c r="AC37" s="197">
        <v>33.656383053336995</v>
      </c>
      <c r="AD37" s="197">
        <v>35.698524104268088</v>
      </c>
      <c r="AE37" s="197">
        <v>34.320869950719818</v>
      </c>
      <c r="AF37" s="197">
        <v>40.717469094756673</v>
      </c>
      <c r="AG37" s="197">
        <v>40.262307740139128</v>
      </c>
      <c r="AH37" s="197">
        <v>46.966800810194989</v>
      </c>
      <c r="AI37" s="197">
        <v>48.031316511028812</v>
      </c>
      <c r="AJ37" s="197">
        <v>38.274746604518199</v>
      </c>
      <c r="AK37" s="197">
        <v>18.88689647589538</v>
      </c>
      <c r="AL37" s="197">
        <v>26.489524239840929</v>
      </c>
      <c r="AM37" s="197">
        <v>22.59934835452195</v>
      </c>
      <c r="AN37" s="197">
        <v>21.946797513646029</v>
      </c>
      <c r="AO37" s="197">
        <v>21.942146035012623</v>
      </c>
      <c r="AP37" s="214"/>
    </row>
    <row r="38" spans="1:72" s="164" customFormat="1" ht="15" customHeight="1" x14ac:dyDescent="0.2">
      <c r="A38" s="633" t="s">
        <v>94</v>
      </c>
      <c r="B38" s="250" t="s">
        <v>56</v>
      </c>
      <c r="C38" s="249"/>
      <c r="D38" s="201" t="s">
        <v>147</v>
      </c>
      <c r="E38" s="201" t="s">
        <v>345</v>
      </c>
      <c r="G38" s="196" t="s">
        <v>314</v>
      </c>
      <c r="H38" s="197">
        <v>18.534217302015502</v>
      </c>
      <c r="I38" s="197">
        <v>17.684632711751711</v>
      </c>
      <c r="J38" s="197">
        <v>16.481257869942116</v>
      </c>
      <c r="K38" s="197">
        <v>17.793941699815523</v>
      </c>
      <c r="L38" s="197">
        <v>18.134556314407202</v>
      </c>
      <c r="M38" s="197">
        <v>22.806539581027259</v>
      </c>
      <c r="N38" s="197">
        <v>22.117502566982189</v>
      </c>
      <c r="O38" s="197">
        <v>26.649921679199352</v>
      </c>
      <c r="P38" s="197">
        <v>26.951009382928675</v>
      </c>
      <c r="Q38" s="197">
        <v>29.540754024243977</v>
      </c>
      <c r="R38" s="197">
        <v>30.199047885396105</v>
      </c>
      <c r="S38" s="197">
        <v>29.541729997351684</v>
      </c>
      <c r="T38" s="197">
        <v>27.665421697774278</v>
      </c>
      <c r="U38" s="197">
        <v>25.414005224187783</v>
      </c>
      <c r="V38" s="197">
        <v>30.4696574223547</v>
      </c>
      <c r="W38" s="197">
        <v>33.152746986132755</v>
      </c>
      <c r="X38" s="197">
        <v>29.943593922067429</v>
      </c>
      <c r="Y38" s="197">
        <v>30.507728063609161</v>
      </c>
      <c r="Z38" s="197">
        <v>31.556060059797851</v>
      </c>
      <c r="AA38" s="197">
        <v>23.334038746473478</v>
      </c>
      <c r="AB38" s="197">
        <v>19.798870063618736</v>
      </c>
      <c r="AC38" s="197">
        <v>23.597278201295516</v>
      </c>
      <c r="AD38" s="197">
        <v>14.651538983466365</v>
      </c>
      <c r="AE38" s="197">
        <v>14.08455283810105</v>
      </c>
      <c r="AF38" s="197">
        <v>16.807611740369673</v>
      </c>
      <c r="AG38" s="197">
        <v>16.690207776427425</v>
      </c>
      <c r="AH38" s="197">
        <v>18.946648136347324</v>
      </c>
      <c r="AI38" s="197">
        <v>19.419528266359684</v>
      </c>
      <c r="AJ38" s="197">
        <v>15.446885515632275</v>
      </c>
      <c r="AK38" s="197">
        <v>24.998668408913179</v>
      </c>
      <c r="AL38" s="197">
        <v>14.145937955372496</v>
      </c>
      <c r="AM38" s="197">
        <v>3.1134635327355329</v>
      </c>
      <c r="AN38" s="197">
        <v>1.2077272315541543</v>
      </c>
      <c r="AO38" s="197">
        <v>7.6520022844189489E-2</v>
      </c>
      <c r="AP38" s="214"/>
    </row>
    <row r="39" spans="1:72" s="24" customFormat="1" x14ac:dyDescent="0.25">
      <c r="A39" s="252" t="s">
        <v>120</v>
      </c>
      <c r="B39" s="254" t="s">
        <v>56</v>
      </c>
      <c r="C39" s="580"/>
      <c r="D39" s="109" t="s">
        <v>295</v>
      </c>
      <c r="E39" s="176" t="s">
        <v>237</v>
      </c>
      <c r="F39" s="109"/>
      <c r="G39" s="175" t="s">
        <v>312</v>
      </c>
      <c r="H39" s="22">
        <v>238.30199647388656</v>
      </c>
      <c r="I39" s="22">
        <v>167.10541943108461</v>
      </c>
      <c r="J39" s="22">
        <v>230.44269536273939</v>
      </c>
      <c r="K39" s="22">
        <v>249.2064948926791</v>
      </c>
      <c r="L39" s="22">
        <v>228.70557320557307</v>
      </c>
      <c r="M39" s="22">
        <v>216.971603208906</v>
      </c>
      <c r="N39" s="22">
        <v>264.1077975486719</v>
      </c>
      <c r="O39" s="22">
        <v>302.32644075888601</v>
      </c>
      <c r="P39" s="22">
        <v>273.08893237380107</v>
      </c>
      <c r="Q39" s="22">
        <v>280.3186926905546</v>
      </c>
      <c r="R39" s="22">
        <v>226.43051087206067</v>
      </c>
      <c r="S39" s="22">
        <v>263.34738966869639</v>
      </c>
      <c r="T39" s="22">
        <v>279.42915581781841</v>
      </c>
      <c r="U39" s="22">
        <v>257.63780676350132</v>
      </c>
      <c r="V39" s="22">
        <v>239.60836209868438</v>
      </c>
      <c r="W39" s="22">
        <v>185.16106618658978</v>
      </c>
      <c r="X39" s="22">
        <v>189.21272415501136</v>
      </c>
      <c r="Y39" s="22">
        <v>183.90268549207769</v>
      </c>
      <c r="Z39" s="22">
        <v>160.63851217332601</v>
      </c>
      <c r="AA39" s="22">
        <v>116.7100487932551</v>
      </c>
      <c r="AB39" s="22">
        <v>84.411799420601625</v>
      </c>
      <c r="AC39" s="22">
        <v>98.726782685505796</v>
      </c>
      <c r="AD39" s="22">
        <v>83.589289785807523</v>
      </c>
      <c r="AE39" s="22">
        <v>74.708501704446036</v>
      </c>
      <c r="AF39" s="22">
        <v>31.896693599301095</v>
      </c>
      <c r="AG39" s="22">
        <v>61.74105215607937</v>
      </c>
      <c r="AH39" s="22">
        <v>59.934001713100656</v>
      </c>
      <c r="AI39" s="22">
        <v>31.319911894929575</v>
      </c>
      <c r="AJ39" s="22">
        <v>37.869159429064503</v>
      </c>
      <c r="AK39" s="22">
        <v>28.604367521815185</v>
      </c>
      <c r="AL39" s="22">
        <v>32.045116125792731</v>
      </c>
      <c r="AM39" s="22">
        <v>43.33816858690497</v>
      </c>
      <c r="AN39" s="22">
        <v>95.326881433433343</v>
      </c>
      <c r="AO39" s="22">
        <v>56.87537960665744</v>
      </c>
      <c r="AP39" s="613"/>
      <c r="AQ39" s="615"/>
      <c r="AR39" s="613"/>
      <c r="AS39" s="615"/>
      <c r="AT39" s="613"/>
      <c r="AU39" s="615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</row>
    <row r="40" spans="1:72" s="24" customFormat="1" ht="15" customHeight="1" x14ac:dyDescent="0.25">
      <c r="A40" s="252" t="s">
        <v>63</v>
      </c>
      <c r="B40" s="254" t="s">
        <v>56</v>
      </c>
      <c r="C40" s="580"/>
      <c r="D40" s="109" t="s">
        <v>11</v>
      </c>
      <c r="E40" s="109" t="s">
        <v>176</v>
      </c>
      <c r="F40" s="109"/>
      <c r="G40" s="175" t="s">
        <v>312</v>
      </c>
      <c r="H40" s="22">
        <v>61.574334357545837</v>
      </c>
      <c r="I40" s="22">
        <v>70.154014848439829</v>
      </c>
      <c r="J40" s="22">
        <v>67.791788574964158</v>
      </c>
      <c r="K40" s="22">
        <v>85.572844383378467</v>
      </c>
      <c r="L40" s="22">
        <v>70.319060800123538</v>
      </c>
      <c r="M40" s="22">
        <v>82.457990170658434</v>
      </c>
      <c r="N40" s="22">
        <v>81.53239883625325</v>
      </c>
      <c r="O40" s="22">
        <v>67.138591404165552</v>
      </c>
      <c r="P40" s="22">
        <v>84.222237993796114</v>
      </c>
      <c r="Q40" s="22">
        <v>112.15179494287861</v>
      </c>
      <c r="R40" s="22">
        <v>154.16614156765178</v>
      </c>
      <c r="S40" s="22">
        <v>144.88875098397415</v>
      </c>
      <c r="T40" s="22">
        <v>148.51789217619518</v>
      </c>
      <c r="U40" s="22">
        <v>137.42801253995231</v>
      </c>
      <c r="V40" s="22">
        <v>124.04475425748892</v>
      </c>
      <c r="W40" s="22">
        <v>119.43739330616143</v>
      </c>
      <c r="X40" s="22">
        <v>129.4591322935857</v>
      </c>
      <c r="Y40" s="22">
        <v>150.1365476380019</v>
      </c>
      <c r="Z40" s="22">
        <v>188.79046841169912</v>
      </c>
      <c r="AA40" s="22">
        <v>172.68275584137766</v>
      </c>
      <c r="AB40" s="22">
        <v>194.76400000000001</v>
      </c>
      <c r="AC40" s="22">
        <v>183.428</v>
      </c>
      <c r="AD40" s="22">
        <v>175.14867999999998</v>
      </c>
      <c r="AE40" s="22">
        <v>177.02600000000001</v>
      </c>
      <c r="AF40" s="22">
        <v>187.44652000000002</v>
      </c>
      <c r="AG40" s="22">
        <v>167.55332000000001</v>
      </c>
      <c r="AH40" s="22">
        <v>152.1463984264463</v>
      </c>
      <c r="AI40" s="22">
        <v>149.39019999999999</v>
      </c>
      <c r="AJ40" s="22">
        <v>159.285</v>
      </c>
      <c r="AK40" s="22">
        <v>166.61846041329147</v>
      </c>
      <c r="AL40" s="22">
        <v>179.18884</v>
      </c>
      <c r="AM40" s="22">
        <v>166.39276267328282</v>
      </c>
      <c r="AN40" s="22">
        <v>178.14378461355247</v>
      </c>
      <c r="AO40" s="22">
        <v>176.69460000000001</v>
      </c>
      <c r="AP40" s="613"/>
      <c r="AQ40" s="615"/>
      <c r="AR40" s="613"/>
      <c r="AS40" s="615"/>
      <c r="AT40" s="613"/>
      <c r="AU40" s="615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</row>
    <row r="41" spans="1:72" s="24" customFormat="1" ht="15" customHeight="1" x14ac:dyDescent="0.25">
      <c r="A41" s="252" t="s">
        <v>119</v>
      </c>
      <c r="B41" s="254" t="s">
        <v>56</v>
      </c>
      <c r="C41" s="580"/>
      <c r="D41" s="109" t="s">
        <v>12</v>
      </c>
      <c r="E41" s="109" t="s">
        <v>245</v>
      </c>
      <c r="F41" s="109"/>
      <c r="G41" s="175" t="s">
        <v>312</v>
      </c>
      <c r="H41" s="22">
        <f t="shared" ref="H41:AO41" si="3">H42-SUM(H27:H28,H33:H35,H39,H40)</f>
        <v>50.342219039356451</v>
      </c>
      <c r="I41" s="22">
        <f t="shared" si="3"/>
        <v>48.498820297847487</v>
      </c>
      <c r="J41" s="22">
        <f t="shared" si="3"/>
        <v>48.148428783987583</v>
      </c>
      <c r="K41" s="22">
        <f t="shared" si="3"/>
        <v>47.476003043789206</v>
      </c>
      <c r="L41" s="22">
        <f t="shared" si="3"/>
        <v>45.391953774035983</v>
      </c>
      <c r="M41" s="22">
        <f t="shared" si="3"/>
        <v>47.352983917573965</v>
      </c>
      <c r="N41" s="22">
        <f t="shared" si="3"/>
        <v>49.893783805454859</v>
      </c>
      <c r="O41" s="22">
        <f t="shared" si="3"/>
        <v>35.097324620486688</v>
      </c>
      <c r="P41" s="22">
        <f t="shared" si="3"/>
        <v>49.469332979992487</v>
      </c>
      <c r="Q41" s="22">
        <f t="shared" si="3"/>
        <v>47.55848677563381</v>
      </c>
      <c r="R41" s="22">
        <f t="shared" si="3"/>
        <v>39.892840859240096</v>
      </c>
      <c r="S41" s="22">
        <f t="shared" si="3"/>
        <v>50.754075297037616</v>
      </c>
      <c r="T41" s="22">
        <f t="shared" si="3"/>
        <v>52.640976153457814</v>
      </c>
      <c r="U41" s="22">
        <f t="shared" si="3"/>
        <v>29.181253067310536</v>
      </c>
      <c r="V41" s="22">
        <f t="shared" si="3"/>
        <v>49.028661179636856</v>
      </c>
      <c r="W41" s="22">
        <f t="shared" si="3"/>
        <v>50.945701721319438</v>
      </c>
      <c r="X41" s="22">
        <f t="shared" si="3"/>
        <v>49.284327537120134</v>
      </c>
      <c r="Y41" s="22">
        <f t="shared" si="3"/>
        <v>45.717055155430899</v>
      </c>
      <c r="Z41" s="22">
        <f t="shared" si="3"/>
        <v>26.87207468519955</v>
      </c>
      <c r="AA41" s="22">
        <f t="shared" si="3"/>
        <v>23.67740183132355</v>
      </c>
      <c r="AB41" s="22">
        <f t="shared" si="3"/>
        <v>33.292935423734889</v>
      </c>
      <c r="AC41" s="22">
        <f t="shared" si="3"/>
        <v>23.804403980257121</v>
      </c>
      <c r="AD41" s="22">
        <f t="shared" si="3"/>
        <v>17.531430949111609</v>
      </c>
      <c r="AE41" s="22">
        <f t="shared" si="3"/>
        <v>14.593199489544077</v>
      </c>
      <c r="AF41" s="22">
        <f t="shared" si="3"/>
        <v>21.641270328978635</v>
      </c>
      <c r="AG41" s="22">
        <f t="shared" si="3"/>
        <v>13.098548904574727</v>
      </c>
      <c r="AH41" s="22">
        <f t="shared" si="3"/>
        <v>10.755648068047776</v>
      </c>
      <c r="AI41" s="22">
        <f t="shared" si="3"/>
        <v>14.844333681910257</v>
      </c>
      <c r="AJ41" s="22">
        <f t="shared" si="3"/>
        <v>11.848444888901895</v>
      </c>
      <c r="AK41" s="22">
        <f t="shared" si="3"/>
        <v>15.63986710222207</v>
      </c>
      <c r="AL41" s="22">
        <f t="shared" si="3"/>
        <v>11.842597060930302</v>
      </c>
      <c r="AM41" s="22">
        <f t="shared" si="3"/>
        <v>13.308209683551013</v>
      </c>
      <c r="AN41" s="22">
        <f t="shared" si="3"/>
        <v>18.798029325587549</v>
      </c>
      <c r="AO41" s="22">
        <f t="shared" si="3"/>
        <v>20.058810296417278</v>
      </c>
      <c r="AP41" s="613"/>
      <c r="AQ41" s="615"/>
      <c r="AR41" s="613"/>
      <c r="AS41" s="615"/>
      <c r="AT41" s="613"/>
      <c r="AU41" s="615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</row>
    <row r="42" spans="1:72" s="25" customFormat="1" ht="15" customHeight="1" x14ac:dyDescent="0.25">
      <c r="A42" s="252" t="s">
        <v>50</v>
      </c>
      <c r="B42" s="254" t="s">
        <v>56</v>
      </c>
      <c r="C42" s="159"/>
      <c r="D42" s="111" t="s">
        <v>171</v>
      </c>
      <c r="E42" s="110"/>
      <c r="F42" s="110"/>
      <c r="G42" s="333" t="s">
        <v>313</v>
      </c>
      <c r="H42" s="23">
        <v>1840.5551686966535</v>
      </c>
      <c r="I42" s="23">
        <v>1755.4148787772035</v>
      </c>
      <c r="J42" s="23">
        <v>1899.1712872886449</v>
      </c>
      <c r="K42" s="23">
        <v>2003.89682375082</v>
      </c>
      <c r="L42" s="23">
        <v>1952.7910408929704</v>
      </c>
      <c r="M42" s="23">
        <v>2057.5856778034463</v>
      </c>
      <c r="N42" s="23">
        <v>2113.048477118512</v>
      </c>
      <c r="O42" s="23">
        <v>2152.914682208168</v>
      </c>
      <c r="P42" s="23">
        <v>2146.5378495197851</v>
      </c>
      <c r="Q42" s="23">
        <v>2203.0052567984362</v>
      </c>
      <c r="R42" s="23">
        <v>2185.1878815289438</v>
      </c>
      <c r="S42" s="23">
        <v>2073.8860935439552</v>
      </c>
      <c r="T42" s="23">
        <v>2183.8050165791547</v>
      </c>
      <c r="U42" s="23">
        <v>2172.7569766938582</v>
      </c>
      <c r="V42" s="23">
        <v>2271.5946091639453</v>
      </c>
      <c r="W42" s="23">
        <v>2158.507969220916</v>
      </c>
      <c r="X42" s="23">
        <v>2221.7924615809688</v>
      </c>
      <c r="Y42" s="23">
        <v>2363.0881935152083</v>
      </c>
      <c r="Z42" s="23">
        <v>2234.9780023950384</v>
      </c>
      <c r="AA42" s="23">
        <v>2137.0823287033058</v>
      </c>
      <c r="AB42" s="23">
        <v>2026.8113312376122</v>
      </c>
      <c r="AC42" s="23">
        <v>1905.1407556197382</v>
      </c>
      <c r="AD42" s="23">
        <v>1855.9166363751167</v>
      </c>
      <c r="AE42" s="23">
        <v>1820.5677270076819</v>
      </c>
      <c r="AF42" s="23">
        <v>1808.9745887661516</v>
      </c>
      <c r="AG42" s="23">
        <v>1853.7495133570387</v>
      </c>
      <c r="AH42" s="23">
        <v>1828.9452521106725</v>
      </c>
      <c r="AI42" s="23">
        <v>1870.1471075383224</v>
      </c>
      <c r="AJ42" s="23">
        <v>1910.9986323750379</v>
      </c>
      <c r="AK42" s="23">
        <v>1853.7107133888876</v>
      </c>
      <c r="AL42" s="23">
        <v>1664.3095820293888</v>
      </c>
      <c r="AM42" s="23">
        <v>1750.3695972817532</v>
      </c>
      <c r="AN42" s="23">
        <v>1807.0476896202767</v>
      </c>
      <c r="AO42" s="23">
        <v>1774.4954056364502</v>
      </c>
      <c r="AP42" s="613"/>
      <c r="AQ42" s="615"/>
      <c r="AR42" s="613"/>
      <c r="AS42" s="615"/>
      <c r="AT42" s="613"/>
      <c r="AU42" s="615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</row>
    <row r="43" spans="1:72" s="149" customFormat="1" x14ac:dyDescent="0.25">
      <c r="A43" s="251"/>
      <c r="B43" s="254" t="s">
        <v>56</v>
      </c>
      <c r="C43" s="254"/>
      <c r="D43" s="159"/>
      <c r="E43" s="159"/>
      <c r="F43" s="159"/>
      <c r="G43" s="15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</row>
    <row r="44" spans="1:72" s="467" customFormat="1" ht="36" customHeight="1" x14ac:dyDescent="0.45">
      <c r="A44" s="252"/>
      <c r="B44" s="565"/>
      <c r="C44" s="464"/>
      <c r="D44" s="470" t="s">
        <v>285</v>
      </c>
      <c r="E44" s="464"/>
      <c r="F44" s="464"/>
      <c r="G44" s="465"/>
      <c r="H44" s="451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6"/>
      <c r="AI44" s="466"/>
      <c r="AJ44" s="466"/>
      <c r="AK44" s="466"/>
      <c r="AL44" s="466"/>
      <c r="AM44" s="466"/>
      <c r="AN44" s="466"/>
      <c r="AO44" s="466"/>
    </row>
    <row r="45" spans="1:72" s="522" customFormat="1" ht="21.75" customHeight="1" x14ac:dyDescent="0.25">
      <c r="A45" s="634"/>
      <c r="B45" s="566" t="s">
        <v>56</v>
      </c>
      <c r="C45" s="469"/>
      <c r="D45" s="468"/>
      <c r="E45" s="469"/>
      <c r="F45" s="469"/>
      <c r="G45" s="519"/>
      <c r="H45" s="520">
        <v>1990</v>
      </c>
      <c r="I45" s="521">
        <v>1991</v>
      </c>
      <c r="J45" s="521">
        <v>1992</v>
      </c>
      <c r="K45" s="521">
        <v>1993</v>
      </c>
      <c r="L45" s="521">
        <v>1994</v>
      </c>
      <c r="M45" s="521">
        <v>1995</v>
      </c>
      <c r="N45" s="521">
        <v>1996</v>
      </c>
      <c r="O45" s="521">
        <v>1997</v>
      </c>
      <c r="P45" s="521">
        <v>1998</v>
      </c>
      <c r="Q45" s="521">
        <v>1999</v>
      </c>
      <c r="R45" s="521">
        <v>2000</v>
      </c>
      <c r="S45" s="521">
        <v>2001</v>
      </c>
      <c r="T45" s="521">
        <v>2002</v>
      </c>
      <c r="U45" s="521">
        <v>2003</v>
      </c>
      <c r="V45" s="521">
        <v>2004</v>
      </c>
      <c r="W45" s="521">
        <v>2005</v>
      </c>
      <c r="X45" s="521">
        <v>2006</v>
      </c>
      <c r="Y45" s="521">
        <v>2007</v>
      </c>
      <c r="Z45" s="521">
        <v>2008</v>
      </c>
      <c r="AA45" s="521">
        <v>2009</v>
      </c>
      <c r="AB45" s="521">
        <v>2010</v>
      </c>
      <c r="AC45" s="521">
        <v>2011</v>
      </c>
      <c r="AD45" s="521">
        <v>2012</v>
      </c>
      <c r="AE45" s="521">
        <v>2013</v>
      </c>
      <c r="AF45" s="521">
        <v>2014</v>
      </c>
      <c r="AG45" s="521">
        <v>2015</v>
      </c>
      <c r="AH45" s="521">
        <v>2016</v>
      </c>
      <c r="AI45" s="521">
        <v>2017</v>
      </c>
      <c r="AJ45" s="521">
        <v>2018</v>
      </c>
      <c r="AK45" s="521">
        <v>2019</v>
      </c>
      <c r="AL45" s="521">
        <v>2020</v>
      </c>
      <c r="AM45" s="521">
        <v>2021</v>
      </c>
      <c r="AN45" s="521">
        <v>2022</v>
      </c>
      <c r="AO45" s="521">
        <v>2023</v>
      </c>
      <c r="AP45" s="521"/>
      <c r="AQ45" s="521"/>
      <c r="AR45" s="521"/>
      <c r="AS45" s="521"/>
      <c r="AT45" s="521"/>
      <c r="AU45" s="521"/>
      <c r="AV45" s="521"/>
    </row>
    <row r="46" spans="1:72" s="16" customFormat="1" ht="22.5" customHeight="1" x14ac:dyDescent="0.25">
      <c r="A46" s="248"/>
      <c r="B46" s="254" t="s">
        <v>56</v>
      </c>
      <c r="C46" s="620"/>
      <c r="D46" s="620" t="str">
        <f>$D$3</f>
        <v>Söguleg losun | Historical Emissions</v>
      </c>
      <c r="E46" s="620"/>
      <c r="F46" s="620"/>
      <c r="G46" s="620"/>
      <c r="H46" s="154"/>
      <c r="I46" s="16" t="s">
        <v>56</v>
      </c>
      <c r="J46" s="155"/>
      <c r="K46" s="156"/>
      <c r="L46" s="153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</row>
    <row r="47" spans="1:72" s="24" customFormat="1" x14ac:dyDescent="0.25">
      <c r="A47" s="252" t="s">
        <v>66</v>
      </c>
      <c r="B47" s="254" t="s">
        <v>56</v>
      </c>
      <c r="C47" s="580"/>
      <c r="D47" s="109" t="s">
        <v>16</v>
      </c>
      <c r="E47" s="109" t="s">
        <v>194</v>
      </c>
      <c r="F47" s="109"/>
      <c r="G47" s="175" t="s">
        <v>312</v>
      </c>
      <c r="H47" s="22">
        <v>584.02647277080598</v>
      </c>
      <c r="I47" s="22">
        <v>511.273947602943</v>
      </c>
      <c r="J47" s="22">
        <v>301.38514547007009</v>
      </c>
      <c r="K47" s="22">
        <v>220.97402310838271</v>
      </c>
      <c r="L47" s="22">
        <v>198.23658153612337</v>
      </c>
      <c r="M47" s="22">
        <v>216.34383922975644</v>
      </c>
      <c r="N47" s="22">
        <v>186.93379884741088</v>
      </c>
      <c r="O47" s="22">
        <v>280.12409822292682</v>
      </c>
      <c r="P47" s="22">
        <v>462.00564836059743</v>
      </c>
      <c r="Q47" s="22">
        <v>537.93035391162721</v>
      </c>
      <c r="R47" s="22">
        <v>487.74535268246626</v>
      </c>
      <c r="S47" s="22">
        <v>479.60292131211997</v>
      </c>
      <c r="T47" s="22">
        <v>478.11541899358679</v>
      </c>
      <c r="U47" s="22">
        <v>473.56894969857348</v>
      </c>
      <c r="V47" s="22">
        <v>456.78557352619629</v>
      </c>
      <c r="W47" s="22">
        <v>444.80851616708713</v>
      </c>
      <c r="X47" s="22">
        <v>869.57185988485026</v>
      </c>
      <c r="Y47" s="22">
        <v>990.98126629758121</v>
      </c>
      <c r="Z47" s="22">
        <v>1556.7584922170536</v>
      </c>
      <c r="AA47" s="22">
        <v>1393.4018646112659</v>
      </c>
      <c r="AB47" s="22">
        <v>1391.9209450624717</v>
      </c>
      <c r="AC47" s="22">
        <v>1281.3105455922127</v>
      </c>
      <c r="AD47" s="22">
        <v>1328.7342410906138</v>
      </c>
      <c r="AE47" s="22">
        <v>1353.4714335748733</v>
      </c>
      <c r="AF47" s="22">
        <v>1368.5549133196287</v>
      </c>
      <c r="AG47" s="22">
        <v>1392.8009611325194</v>
      </c>
      <c r="AH47" s="22">
        <v>1354.0817500285532</v>
      </c>
      <c r="AI47" s="22">
        <v>1385.559079923195</v>
      </c>
      <c r="AJ47" s="22">
        <v>1382.5326490562106</v>
      </c>
      <c r="AK47" s="22">
        <v>1348.3578754895577</v>
      </c>
      <c r="AL47" s="22">
        <v>1328.8493581323712</v>
      </c>
      <c r="AM47" s="22">
        <v>1345.5222697586937</v>
      </c>
      <c r="AN47" s="22">
        <v>1354.2007303406649</v>
      </c>
      <c r="AO47" s="22">
        <v>1402.6496416686878</v>
      </c>
      <c r="AP47" s="613"/>
      <c r="AQ47" s="615"/>
      <c r="AR47" s="613"/>
      <c r="AS47" s="615"/>
      <c r="AT47" s="613"/>
      <c r="AU47" s="615"/>
    </row>
    <row r="48" spans="1:72" s="24" customFormat="1" x14ac:dyDescent="0.25">
      <c r="A48" s="252" t="s">
        <v>337</v>
      </c>
      <c r="B48" s="254" t="s">
        <v>56</v>
      </c>
      <c r="C48" s="580"/>
      <c r="D48" s="109" t="s">
        <v>47</v>
      </c>
      <c r="E48" s="109" t="s">
        <v>195</v>
      </c>
      <c r="F48" s="109"/>
      <c r="G48" s="175" t="s">
        <v>312</v>
      </c>
      <c r="H48" s="22">
        <v>210.55472170666667</v>
      </c>
      <c r="I48" s="22">
        <v>176.80528261706669</v>
      </c>
      <c r="J48" s="22">
        <v>188.28332888506671</v>
      </c>
      <c r="K48" s="22">
        <v>238.53559058533338</v>
      </c>
      <c r="L48" s="22">
        <v>232.49217533253338</v>
      </c>
      <c r="M48" s="22">
        <v>245.96401927226665</v>
      </c>
      <c r="N48" s="22">
        <v>235.22782835253332</v>
      </c>
      <c r="O48" s="22">
        <v>257.17700316373333</v>
      </c>
      <c r="P48" s="22">
        <v>198.58720348560001</v>
      </c>
      <c r="Q48" s="22">
        <v>257.83106455839999</v>
      </c>
      <c r="R48" s="22">
        <v>365.65036656475536</v>
      </c>
      <c r="S48" s="22">
        <v>386.08921316544843</v>
      </c>
      <c r="T48" s="22">
        <v>403.9326403148857</v>
      </c>
      <c r="U48" s="22">
        <v>402.47385277209037</v>
      </c>
      <c r="V48" s="22">
        <v>401.96736076842336</v>
      </c>
      <c r="W48" s="22">
        <v>379.94289400640002</v>
      </c>
      <c r="X48" s="22">
        <v>381.71962690880008</v>
      </c>
      <c r="Y48" s="22">
        <v>401.35289110400004</v>
      </c>
      <c r="Z48" s="22">
        <v>351.97302632799995</v>
      </c>
      <c r="AA48" s="22">
        <v>353.3588710624</v>
      </c>
      <c r="AB48" s="22">
        <v>372.56202565120009</v>
      </c>
      <c r="AC48" s="22">
        <v>380.41566972484713</v>
      </c>
      <c r="AD48" s="22">
        <v>413.43718523066929</v>
      </c>
      <c r="AE48" s="22">
        <v>409.5077919157888</v>
      </c>
      <c r="AF48" s="22">
        <v>371.44549117182407</v>
      </c>
      <c r="AG48" s="22">
        <v>404.22007331306247</v>
      </c>
      <c r="AH48" s="22">
        <v>408.51819724381278</v>
      </c>
      <c r="AI48" s="22">
        <v>431.82186025965422</v>
      </c>
      <c r="AJ48" s="22">
        <v>455.77922710046619</v>
      </c>
      <c r="AK48" s="22">
        <v>432.40627007368806</v>
      </c>
      <c r="AL48" s="22">
        <v>418.71234892799322</v>
      </c>
      <c r="AM48" s="22">
        <v>476.02459170932525</v>
      </c>
      <c r="AN48" s="22">
        <v>517.72039053568767</v>
      </c>
      <c r="AO48" s="22">
        <v>408.20430474231654</v>
      </c>
      <c r="AP48" s="613"/>
      <c r="AQ48" s="615"/>
      <c r="AR48" s="613"/>
      <c r="AS48" s="615"/>
      <c r="AT48" s="613"/>
      <c r="AU48" s="615"/>
    </row>
    <row r="49" spans="1:72" s="24" customFormat="1" x14ac:dyDescent="0.25">
      <c r="A49" s="252" t="s">
        <v>68</v>
      </c>
      <c r="B49" s="254" t="s">
        <v>56</v>
      </c>
      <c r="C49" s="580"/>
      <c r="D49" s="109" t="s">
        <v>17</v>
      </c>
      <c r="E49" s="109" t="s">
        <v>174</v>
      </c>
      <c r="F49" s="109"/>
      <c r="G49" s="175" t="s">
        <v>312</v>
      </c>
      <c r="H49" s="609">
        <v>0.31587839505520987</v>
      </c>
      <c r="I49" s="609">
        <v>0.63440324339710896</v>
      </c>
      <c r="J49" s="609">
        <v>0.64201226841222514</v>
      </c>
      <c r="K49" s="114">
        <v>1.4399581844250187</v>
      </c>
      <c r="L49" s="114">
        <v>1.8535598331542598</v>
      </c>
      <c r="M49" s="114">
        <v>3.1529398777809292</v>
      </c>
      <c r="N49" s="22">
        <v>10.091380557538331</v>
      </c>
      <c r="O49" s="22">
        <v>16.137625712084247</v>
      </c>
      <c r="P49" s="22">
        <v>25.460844466955933</v>
      </c>
      <c r="Q49" s="22">
        <v>36.988217113290219</v>
      </c>
      <c r="R49" s="22">
        <v>42.971186725495777</v>
      </c>
      <c r="S49" s="22">
        <v>39.803011906466502</v>
      </c>
      <c r="T49" s="22">
        <v>44.626570883465504</v>
      </c>
      <c r="U49" s="22">
        <v>45.10631741308412</v>
      </c>
      <c r="V49" s="22">
        <v>52.140957248435534</v>
      </c>
      <c r="W49" s="22">
        <v>57.201241406144838</v>
      </c>
      <c r="X49" s="22">
        <v>66.268728117954964</v>
      </c>
      <c r="Y49" s="22">
        <v>66.94139885551283</v>
      </c>
      <c r="Z49" s="22">
        <v>65.619674949677176</v>
      </c>
      <c r="AA49" s="22">
        <v>78.815684882158905</v>
      </c>
      <c r="AB49" s="22">
        <v>106.63787846935243</v>
      </c>
      <c r="AC49" s="22">
        <v>131.33347009246177</v>
      </c>
      <c r="AD49" s="22">
        <v>136.5156278242512</v>
      </c>
      <c r="AE49" s="22">
        <v>166.67301783528774</v>
      </c>
      <c r="AF49" s="22">
        <v>164.47973841133989</v>
      </c>
      <c r="AG49" s="22">
        <v>156.82957565208963</v>
      </c>
      <c r="AH49" s="22">
        <v>173.66618826618588</v>
      </c>
      <c r="AI49" s="22">
        <v>164.60973006017312</v>
      </c>
      <c r="AJ49" s="22">
        <v>182.49465783600516</v>
      </c>
      <c r="AK49" s="22">
        <v>194.40775708209762</v>
      </c>
      <c r="AL49" s="22">
        <v>198.16685581224471</v>
      </c>
      <c r="AM49" s="22">
        <v>162.47594201837697</v>
      </c>
      <c r="AN49" s="22">
        <v>133.26429206158915</v>
      </c>
      <c r="AO49" s="22">
        <v>124.61138001256812</v>
      </c>
      <c r="AP49" s="613"/>
      <c r="AQ49" s="615"/>
      <c r="AR49" s="613"/>
      <c r="AS49" s="615"/>
      <c r="AT49" s="613"/>
      <c r="AU49" s="615"/>
    </row>
    <row r="50" spans="1:72" s="138" customFormat="1" x14ac:dyDescent="0.25">
      <c r="A50" s="252" t="s">
        <v>121</v>
      </c>
      <c r="B50" s="254" t="s">
        <v>56</v>
      </c>
      <c r="C50" s="580"/>
      <c r="D50" s="109" t="s">
        <v>12</v>
      </c>
      <c r="E50" s="109" t="s">
        <v>245</v>
      </c>
      <c r="F50" s="109"/>
      <c r="G50" s="175" t="s">
        <v>312</v>
      </c>
      <c r="H50" s="137">
        <f>SUM(H51:H55)</f>
        <v>107.39920284949243</v>
      </c>
      <c r="I50" s="137">
        <f t="shared" ref="I50:AO50" si="4">SUM(I51:I55)</f>
        <v>101.91136027226653</v>
      </c>
      <c r="J50" s="137">
        <f t="shared" si="4"/>
        <v>94.321493956709858</v>
      </c>
      <c r="K50" s="137">
        <f t="shared" si="4"/>
        <v>90.315707158298721</v>
      </c>
      <c r="L50" s="137">
        <f t="shared" si="4"/>
        <v>87.922425062911444</v>
      </c>
      <c r="M50" s="137">
        <f t="shared" si="4"/>
        <v>87.180001035308663</v>
      </c>
      <c r="N50" s="137">
        <f t="shared" si="4"/>
        <v>97.472453731573836</v>
      </c>
      <c r="O50" s="137">
        <f t="shared" si="4"/>
        <v>95.17781887015056</v>
      </c>
      <c r="P50" s="137">
        <f t="shared" si="4"/>
        <v>98.746741398858049</v>
      </c>
      <c r="Q50" s="137">
        <f t="shared" si="4"/>
        <v>105.82336019790417</v>
      </c>
      <c r="R50" s="137">
        <f t="shared" si="4"/>
        <v>95.001120518162722</v>
      </c>
      <c r="S50" s="137">
        <f t="shared" si="4"/>
        <v>85.062324818882345</v>
      </c>
      <c r="T50" s="137">
        <f t="shared" si="4"/>
        <v>51.82442993699437</v>
      </c>
      <c r="U50" s="137">
        <f t="shared" si="4"/>
        <v>45.143881241780278</v>
      </c>
      <c r="V50" s="137">
        <f t="shared" si="4"/>
        <v>63.442740126241233</v>
      </c>
      <c r="W50" s="137">
        <f t="shared" si="4"/>
        <v>68.030615448339205</v>
      </c>
      <c r="X50" s="137">
        <f t="shared" si="4"/>
        <v>76.318942885185621</v>
      </c>
      <c r="Y50" s="137">
        <f t="shared" si="4"/>
        <v>78.715404497936589</v>
      </c>
      <c r="Z50" s="137">
        <f t="shared" si="4"/>
        <v>75.071963499563765</v>
      </c>
      <c r="AA50" s="137">
        <f t="shared" si="4"/>
        <v>40.06501131439444</v>
      </c>
      <c r="AB50" s="137">
        <f t="shared" si="4"/>
        <v>23.932143360735196</v>
      </c>
      <c r="AC50" s="137">
        <f t="shared" si="4"/>
        <v>32.299400448278938</v>
      </c>
      <c r="AD50" s="137">
        <f t="shared" si="4"/>
        <v>14.910384533250003</v>
      </c>
      <c r="AE50" s="137">
        <f t="shared" si="4"/>
        <v>12.292173536575262</v>
      </c>
      <c r="AF50" s="137">
        <f t="shared" si="4"/>
        <v>12.10219892780154</v>
      </c>
      <c r="AG50" s="137">
        <f t="shared" si="4"/>
        <v>11.333658415575684</v>
      </c>
      <c r="AH50" s="137">
        <f t="shared" si="4"/>
        <v>10.933710854335231</v>
      </c>
      <c r="AI50" s="137">
        <f t="shared" si="4"/>
        <v>11.529807300972198</v>
      </c>
      <c r="AJ50" s="137">
        <f t="shared" si="4"/>
        <v>13.846926599616154</v>
      </c>
      <c r="AK50" s="137">
        <f t="shared" si="4"/>
        <v>11.448122042170862</v>
      </c>
      <c r="AL50" s="137">
        <f t="shared" si="4"/>
        <v>12.4448343158667</v>
      </c>
      <c r="AM50" s="137">
        <f t="shared" si="4"/>
        <v>11.714415751738478</v>
      </c>
      <c r="AN50" s="137">
        <f t="shared" si="4"/>
        <v>10.978213344841787</v>
      </c>
      <c r="AO50" s="137">
        <f t="shared" si="4"/>
        <v>10.530949001049688</v>
      </c>
      <c r="AP50" s="613"/>
      <c r="AQ50" s="615"/>
      <c r="AR50" s="613"/>
      <c r="AS50" s="615"/>
      <c r="AT50" s="613"/>
      <c r="AU50" s="615"/>
    </row>
    <row r="51" spans="1:72" s="164" customFormat="1" ht="12.75" x14ac:dyDescent="0.2">
      <c r="A51" s="252" t="s">
        <v>64</v>
      </c>
      <c r="B51" s="254" t="s">
        <v>56</v>
      </c>
      <c r="C51" s="569"/>
      <c r="D51" s="162" t="s">
        <v>346</v>
      </c>
      <c r="E51" s="162" t="s">
        <v>264</v>
      </c>
      <c r="F51" s="162"/>
      <c r="G51" s="196" t="s">
        <v>314</v>
      </c>
      <c r="H51" s="197">
        <v>52.256339687250005</v>
      </c>
      <c r="I51" s="197">
        <v>48.627777945875003</v>
      </c>
      <c r="J51" s="197">
        <v>45.670125973500006</v>
      </c>
      <c r="K51" s="197">
        <v>39.654677162187504</v>
      </c>
      <c r="L51" s="197">
        <v>37.353068341500006</v>
      </c>
      <c r="M51" s="197">
        <v>37.842061164624994</v>
      </c>
      <c r="N51" s="197">
        <v>41.755640560312507</v>
      </c>
      <c r="O51" s="197">
        <v>46.51906850406251</v>
      </c>
      <c r="P51" s="197">
        <v>54.358745967250002</v>
      </c>
      <c r="Q51" s="197">
        <v>61.405246905937503</v>
      </c>
      <c r="R51" s="197">
        <v>65.449830021950021</v>
      </c>
      <c r="S51" s="197">
        <v>58.659445362750006</v>
      </c>
      <c r="T51" s="197">
        <v>39.313677956750006</v>
      </c>
      <c r="U51" s="197">
        <v>32.975809699750002</v>
      </c>
      <c r="V51" s="197">
        <v>50.813966560750004</v>
      </c>
      <c r="W51" s="197">
        <v>54.981288890000009</v>
      </c>
      <c r="X51" s="197">
        <v>62.168088455000003</v>
      </c>
      <c r="Y51" s="197">
        <v>64.331651867560012</v>
      </c>
      <c r="Z51" s="197">
        <v>61.804693555000007</v>
      </c>
      <c r="AA51" s="197">
        <v>28.685283075320005</v>
      </c>
      <c r="AB51" s="197">
        <v>10.399972692080002</v>
      </c>
      <c r="AC51" s="197">
        <v>20.143580462280003</v>
      </c>
      <c r="AD51" s="197">
        <v>0.50936247647999999</v>
      </c>
      <c r="AE51" s="197">
        <v>0.55272388644000003</v>
      </c>
      <c r="AF51" s="197">
        <v>0.54749451240000002</v>
      </c>
      <c r="AG51" s="197">
        <v>0.71654013156000007</v>
      </c>
      <c r="AH51" s="197">
        <v>0.77397152472000008</v>
      </c>
      <c r="AI51" s="197">
        <v>0.90232273404000007</v>
      </c>
      <c r="AJ51" s="197">
        <v>0.90521219079999993</v>
      </c>
      <c r="AK51" s="197">
        <v>0.95699099012000011</v>
      </c>
      <c r="AL51" s="197">
        <v>0.89499845720000004</v>
      </c>
      <c r="AM51" s="197">
        <v>0.93069417912000008</v>
      </c>
      <c r="AN51" s="197">
        <v>0.93590011000000006</v>
      </c>
      <c r="AO51" s="163">
        <v>0.96926805625000012</v>
      </c>
    </row>
    <row r="52" spans="1:72" s="164" customFormat="1" ht="12.75" x14ac:dyDescent="0.2">
      <c r="A52" s="252" t="s">
        <v>65</v>
      </c>
      <c r="B52" s="254" t="s">
        <v>56</v>
      </c>
      <c r="C52" s="569"/>
      <c r="D52" s="162" t="s">
        <v>347</v>
      </c>
      <c r="E52" s="162" t="s">
        <v>265</v>
      </c>
      <c r="F52" s="162"/>
      <c r="G52" s="196" t="s">
        <v>314</v>
      </c>
      <c r="H52" s="197">
        <v>41.70030188679246</v>
      </c>
      <c r="I52" s="197">
        <v>40.327981132075472</v>
      </c>
      <c r="J52" s="197">
        <v>36.028622641509436</v>
      </c>
      <c r="K52" s="197">
        <v>37.871999999999993</v>
      </c>
      <c r="L52" s="197">
        <v>38.247415094339615</v>
      </c>
      <c r="M52" s="197">
        <v>36.495358490566034</v>
      </c>
      <c r="N52" s="197">
        <v>42.536811320754715</v>
      </c>
      <c r="O52" s="197">
        <v>35.574018867924522</v>
      </c>
      <c r="P52" s="197">
        <v>31.03041509433962</v>
      </c>
      <c r="Q52" s="197">
        <v>31.355952830188677</v>
      </c>
      <c r="R52" s="197">
        <v>16.333707547169812</v>
      </c>
      <c r="S52" s="197">
        <v>14.297971698113207</v>
      </c>
      <c r="T52" s="197">
        <v>0.45369811320754716</v>
      </c>
      <c r="U52" s="197">
        <v>0.47860377358490569</v>
      </c>
      <c r="V52" s="197">
        <v>0.38885584464161987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</row>
    <row r="53" spans="1:72" s="164" customFormat="1" ht="12.75" x14ac:dyDescent="0.2">
      <c r="A53" s="252" t="s">
        <v>338</v>
      </c>
      <c r="B53" s="254"/>
      <c r="C53" s="569"/>
      <c r="D53" s="162" t="s">
        <v>348</v>
      </c>
      <c r="E53" s="162" t="s">
        <v>354</v>
      </c>
      <c r="F53" s="162"/>
      <c r="G53" s="196" t="s">
        <v>314</v>
      </c>
      <c r="H53" s="197">
        <v>0</v>
      </c>
      <c r="I53" s="197">
        <v>0</v>
      </c>
      <c r="J53" s="197">
        <v>0</v>
      </c>
      <c r="K53" s="197">
        <v>0</v>
      </c>
      <c r="L53" s="197">
        <v>0</v>
      </c>
      <c r="M53" s="197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339">
        <v>0.83360000000000001</v>
      </c>
      <c r="AG53" s="339">
        <v>0.34439999999999998</v>
      </c>
      <c r="AH53" s="339">
        <v>0.60743999999999998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</row>
    <row r="54" spans="1:72" s="164" customFormat="1" ht="12.75" x14ac:dyDescent="0.2">
      <c r="A54" s="252" t="s">
        <v>67</v>
      </c>
      <c r="B54" s="254" t="s">
        <v>56</v>
      </c>
      <c r="C54" s="569"/>
      <c r="D54" s="162" t="s">
        <v>349</v>
      </c>
      <c r="E54" s="162" t="s">
        <v>266</v>
      </c>
      <c r="F54" s="162"/>
      <c r="G54" s="196" t="s">
        <v>314</v>
      </c>
      <c r="H54" s="163">
        <v>6.8371637571829638</v>
      </c>
      <c r="I54" s="163">
        <v>6.6904228129190688</v>
      </c>
      <c r="J54" s="163">
        <v>6.8388386467464262</v>
      </c>
      <c r="K54" s="163">
        <v>7.0850882654362266</v>
      </c>
      <c r="L54" s="163">
        <v>7.0022498315998263</v>
      </c>
      <c r="M54" s="163">
        <v>7.5177866464346277</v>
      </c>
      <c r="N54" s="163">
        <v>7.4741643412466257</v>
      </c>
      <c r="O54" s="163">
        <v>7.3570582114085248</v>
      </c>
      <c r="P54" s="163">
        <v>7.4967373312974264</v>
      </c>
      <c r="Q54" s="163">
        <v>7.0464254444469923</v>
      </c>
      <c r="R54" s="163">
        <v>7.4178067334738964</v>
      </c>
      <c r="S54" s="163">
        <v>6.5217662131361305</v>
      </c>
      <c r="T54" s="163">
        <v>6.7594266416228237</v>
      </c>
      <c r="U54" s="163">
        <v>6.427574741879365</v>
      </c>
      <c r="V54" s="163">
        <v>7.2089115438226088</v>
      </c>
      <c r="W54" s="163">
        <v>6.9243765069421919</v>
      </c>
      <c r="X54" s="163">
        <v>7.6909596077876206</v>
      </c>
      <c r="Y54" s="163">
        <v>7.2109724048125727</v>
      </c>
      <c r="Z54" s="163">
        <v>6.4602257146107682</v>
      </c>
      <c r="AA54" s="163">
        <v>4.9920200690714314</v>
      </c>
      <c r="AB54" s="163">
        <v>5.210162810581191</v>
      </c>
      <c r="AC54" s="163">
        <v>5.4068859891839329</v>
      </c>
      <c r="AD54" s="163">
        <v>5.3588512765260026</v>
      </c>
      <c r="AE54" s="163">
        <v>5.3038093607795957</v>
      </c>
      <c r="AF54" s="163">
        <v>5.3716012494485401</v>
      </c>
      <c r="AG54" s="163">
        <v>5.7048726291631837</v>
      </c>
      <c r="AH54" s="163">
        <v>5.7860860971692318</v>
      </c>
      <c r="AI54" s="163">
        <v>5.6110332255971977</v>
      </c>
      <c r="AJ54" s="163">
        <v>6.2398944300571539</v>
      </c>
      <c r="AK54" s="163">
        <v>5.6078105828278622</v>
      </c>
      <c r="AL54" s="163">
        <v>5.737722585430701</v>
      </c>
      <c r="AM54" s="163">
        <v>5.7833677751484789</v>
      </c>
      <c r="AN54" s="163">
        <v>5.8695029100827885</v>
      </c>
      <c r="AO54" s="163">
        <v>5.7459835593930215</v>
      </c>
    </row>
    <row r="55" spans="1:72" s="164" customFormat="1" ht="12.75" x14ac:dyDescent="0.2">
      <c r="A55" s="252" t="s">
        <v>69</v>
      </c>
      <c r="B55" s="254" t="s">
        <v>56</v>
      </c>
      <c r="C55" s="569"/>
      <c r="D55" s="162" t="s">
        <v>350</v>
      </c>
      <c r="E55" s="162" t="s">
        <v>267</v>
      </c>
      <c r="F55" s="162"/>
      <c r="G55" s="196" t="s">
        <v>314</v>
      </c>
      <c r="H55" s="163">
        <v>6.6053975182669991</v>
      </c>
      <c r="I55" s="163">
        <v>6.265178381396999</v>
      </c>
      <c r="J55" s="163">
        <v>5.7839066949539992</v>
      </c>
      <c r="K55" s="163">
        <v>5.7039417306749991</v>
      </c>
      <c r="L55" s="163">
        <v>5.319691795472</v>
      </c>
      <c r="M55" s="163">
        <v>5.3247947336829995</v>
      </c>
      <c r="N55" s="163">
        <v>5.7058375092599993</v>
      </c>
      <c r="O55" s="163">
        <v>5.7276732867549995</v>
      </c>
      <c r="P55" s="163">
        <v>5.8608430059709997</v>
      </c>
      <c r="Q55" s="163">
        <v>6.015735017331</v>
      </c>
      <c r="R55" s="163">
        <v>5.7997762155690005</v>
      </c>
      <c r="S55" s="163">
        <v>5.5831415448829995</v>
      </c>
      <c r="T55" s="163">
        <v>5.2976272254139998</v>
      </c>
      <c r="U55" s="163">
        <v>5.2618930265659998</v>
      </c>
      <c r="V55" s="163">
        <v>5.0310061770269989</v>
      </c>
      <c r="W55" s="163">
        <v>6.1249500513970005</v>
      </c>
      <c r="X55" s="163">
        <v>6.4598948223980006</v>
      </c>
      <c r="Y55" s="163">
        <v>7.1727802255639999</v>
      </c>
      <c r="Z55" s="163">
        <v>6.8070442299529992</v>
      </c>
      <c r="AA55" s="163">
        <v>6.3877081700029992</v>
      </c>
      <c r="AB55" s="163">
        <v>8.3220078580740005</v>
      </c>
      <c r="AC55" s="163">
        <v>6.7489339968150004</v>
      </c>
      <c r="AD55" s="163">
        <v>9.0421707802439997</v>
      </c>
      <c r="AE55" s="163">
        <v>6.4356402893556668</v>
      </c>
      <c r="AF55" s="163">
        <v>5.3495031659530001</v>
      </c>
      <c r="AG55" s="163">
        <v>4.5678456548525004</v>
      </c>
      <c r="AH55" s="163">
        <v>3.7662132324459998</v>
      </c>
      <c r="AI55" s="163">
        <v>5.0164513413349994</v>
      </c>
      <c r="AJ55" s="163">
        <v>6.7018199787590005</v>
      </c>
      <c r="AK55" s="163">
        <v>4.8833204692230003</v>
      </c>
      <c r="AL55" s="163">
        <v>5.8121132732360001</v>
      </c>
      <c r="AM55" s="163">
        <v>5.0003537974699999</v>
      </c>
      <c r="AN55" s="163">
        <v>4.1728103247589985</v>
      </c>
      <c r="AO55" s="163">
        <v>3.8156973854066671</v>
      </c>
    </row>
    <row r="56" spans="1:72" s="25" customFormat="1" x14ac:dyDescent="0.25">
      <c r="A56" s="252" t="s">
        <v>51</v>
      </c>
      <c r="B56" s="254" t="s">
        <v>56</v>
      </c>
      <c r="C56" s="159"/>
      <c r="D56" s="111" t="s">
        <v>171</v>
      </c>
      <c r="E56" s="110"/>
      <c r="F56" s="110"/>
      <c r="G56" s="333" t="s">
        <v>313</v>
      </c>
      <c r="H56" s="23">
        <v>902.29627572202014</v>
      </c>
      <c r="I56" s="23">
        <v>790.62499373567334</v>
      </c>
      <c r="J56" s="23">
        <v>584.63198058025898</v>
      </c>
      <c r="K56" s="23">
        <v>551.26527903643978</v>
      </c>
      <c r="L56" s="23">
        <v>520.50474176472244</v>
      </c>
      <c r="M56" s="23">
        <v>552.64079941511272</v>
      </c>
      <c r="N56" s="23">
        <v>529.72546148905633</v>
      </c>
      <c r="O56" s="23">
        <v>648.61654596889502</v>
      </c>
      <c r="P56" s="23">
        <v>784.80043771201144</v>
      </c>
      <c r="Q56" s="23">
        <v>938.57299578122161</v>
      </c>
      <c r="R56" s="23">
        <v>991.36802649088008</v>
      </c>
      <c r="S56" s="23">
        <v>990.55747120291733</v>
      </c>
      <c r="T56" s="23">
        <v>978.49906012893234</v>
      </c>
      <c r="U56" s="23">
        <v>966.29300112552812</v>
      </c>
      <c r="V56" s="23">
        <v>974.33663166929648</v>
      </c>
      <c r="W56" s="23">
        <v>949.98326702797112</v>
      </c>
      <c r="X56" s="23">
        <v>1393.8791577967909</v>
      </c>
      <c r="Y56" s="23">
        <v>1537.9909607550308</v>
      </c>
      <c r="Z56" s="23">
        <v>2049.4231569942945</v>
      </c>
      <c r="AA56" s="23">
        <v>1865.6414318702191</v>
      </c>
      <c r="AB56" s="23">
        <v>1895.0529925437593</v>
      </c>
      <c r="AC56" s="23">
        <v>1825.3590858578004</v>
      </c>
      <c r="AD56" s="23">
        <v>1893.5974386787841</v>
      </c>
      <c r="AE56" s="23">
        <v>1941.944416862525</v>
      </c>
      <c r="AF56" s="23">
        <v>1916.582341830594</v>
      </c>
      <c r="AG56" s="23">
        <v>1965.1842685132474</v>
      </c>
      <c r="AH56" s="23">
        <v>1947.1998463928871</v>
      </c>
      <c r="AI56" s="23">
        <v>1993.5204775439943</v>
      </c>
      <c r="AJ56" s="23">
        <v>2034.6534605922982</v>
      </c>
      <c r="AK56" s="23">
        <v>1986.6200246875142</v>
      </c>
      <c r="AL56" s="23">
        <v>1958.1733971884757</v>
      </c>
      <c r="AM56" s="23">
        <v>1995.7372192381347</v>
      </c>
      <c r="AN56" s="23">
        <v>2016.1636262827835</v>
      </c>
      <c r="AO56" s="23">
        <v>1945.9962754246219</v>
      </c>
      <c r="AP56" s="613"/>
      <c r="AQ56" s="615"/>
      <c r="AR56" s="613"/>
      <c r="AS56" s="615"/>
      <c r="AT56" s="613"/>
      <c r="AU56" s="615"/>
    </row>
    <row r="57" spans="1:72" s="149" customFormat="1" x14ac:dyDescent="0.25">
      <c r="A57" s="252"/>
      <c r="B57" s="254"/>
      <c r="C57" s="159"/>
      <c r="D57" s="159"/>
      <c r="E57" s="159"/>
      <c r="F57" s="159"/>
      <c r="G57" s="158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</row>
    <row r="58" spans="1:72" s="302" customFormat="1" ht="37.5" customHeight="1" x14ac:dyDescent="0.4">
      <c r="A58" s="635"/>
      <c r="B58" s="567"/>
      <c r="C58" s="300"/>
      <c r="D58" s="454" t="s">
        <v>262</v>
      </c>
      <c r="E58" s="300"/>
      <c r="F58" s="300"/>
      <c r="G58" s="301"/>
      <c r="H58" s="452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</row>
    <row r="59" spans="1:72" s="476" customFormat="1" ht="22.5" customHeight="1" x14ac:dyDescent="0.25">
      <c r="A59" s="636"/>
      <c r="B59" s="568" t="s">
        <v>56</v>
      </c>
      <c r="C59" s="472"/>
      <c r="D59" s="471"/>
      <c r="E59" s="472"/>
      <c r="F59" s="472"/>
      <c r="G59" s="473"/>
      <c r="H59" s="474">
        <v>1990</v>
      </c>
      <c r="I59" s="475">
        <v>1991</v>
      </c>
      <c r="J59" s="475">
        <v>1992</v>
      </c>
      <c r="K59" s="475">
        <v>1993</v>
      </c>
      <c r="L59" s="475">
        <v>1994</v>
      </c>
      <c r="M59" s="475">
        <v>1995</v>
      </c>
      <c r="N59" s="475">
        <v>1996</v>
      </c>
      <c r="O59" s="475">
        <v>1997</v>
      </c>
      <c r="P59" s="475">
        <v>1998</v>
      </c>
      <c r="Q59" s="475">
        <v>1999</v>
      </c>
      <c r="R59" s="475">
        <v>2000</v>
      </c>
      <c r="S59" s="475">
        <v>2001</v>
      </c>
      <c r="T59" s="475">
        <v>2002</v>
      </c>
      <c r="U59" s="475">
        <v>2003</v>
      </c>
      <c r="V59" s="475">
        <v>2004</v>
      </c>
      <c r="W59" s="475">
        <v>2005</v>
      </c>
      <c r="X59" s="475">
        <v>2006</v>
      </c>
      <c r="Y59" s="475">
        <v>2007</v>
      </c>
      <c r="Z59" s="475">
        <v>2008</v>
      </c>
      <c r="AA59" s="475">
        <v>2009</v>
      </c>
      <c r="AB59" s="475">
        <v>2010</v>
      </c>
      <c r="AC59" s="475">
        <v>2011</v>
      </c>
      <c r="AD59" s="475">
        <v>2012</v>
      </c>
      <c r="AE59" s="475">
        <v>2013</v>
      </c>
      <c r="AF59" s="475">
        <v>2014</v>
      </c>
      <c r="AG59" s="475">
        <v>2015</v>
      </c>
      <c r="AH59" s="475">
        <v>2016</v>
      </c>
      <c r="AI59" s="475">
        <v>2017</v>
      </c>
      <c r="AJ59" s="475">
        <v>2018</v>
      </c>
      <c r="AK59" s="475">
        <v>2019</v>
      </c>
      <c r="AL59" s="475">
        <v>2020</v>
      </c>
      <c r="AM59" s="475">
        <v>2021</v>
      </c>
      <c r="AN59" s="475">
        <v>2022</v>
      </c>
      <c r="AO59" s="475">
        <v>2023</v>
      </c>
      <c r="AP59" s="475"/>
      <c r="AQ59" s="475"/>
      <c r="AR59" s="475"/>
      <c r="AS59" s="475"/>
      <c r="AT59" s="475"/>
      <c r="AU59" s="475"/>
      <c r="AV59" s="475"/>
    </row>
    <row r="60" spans="1:72" s="16" customFormat="1" ht="24" customHeight="1" x14ac:dyDescent="0.25">
      <c r="A60" s="248"/>
      <c r="B60" s="254" t="s">
        <v>56</v>
      </c>
      <c r="C60" s="626"/>
      <c r="D60" s="626" t="str">
        <f>$D$3</f>
        <v>Söguleg losun | Historical Emissions</v>
      </c>
      <c r="E60" s="626"/>
      <c r="F60" s="626"/>
      <c r="G60" s="626"/>
      <c r="H60" s="154"/>
      <c r="I60" s="16" t="s">
        <v>56</v>
      </c>
      <c r="J60" s="155"/>
      <c r="K60" s="156"/>
      <c r="L60" s="153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</row>
    <row r="61" spans="1:72" s="24" customFormat="1" x14ac:dyDescent="0.25">
      <c r="A61" s="252" t="s">
        <v>70</v>
      </c>
      <c r="B61" s="254" t="s">
        <v>56</v>
      </c>
      <c r="C61" s="580"/>
      <c r="D61" s="109" t="s">
        <v>18</v>
      </c>
      <c r="E61" s="109" t="s">
        <v>240</v>
      </c>
      <c r="F61" s="109"/>
      <c r="G61" s="175" t="s">
        <v>312</v>
      </c>
      <c r="H61" s="22">
        <v>378.65931860588813</v>
      </c>
      <c r="I61" s="22">
        <v>366.07010571548511</v>
      </c>
      <c r="J61" s="22">
        <v>358.57606149278621</v>
      </c>
      <c r="K61" s="22">
        <v>356.35998479197269</v>
      </c>
      <c r="L61" s="22">
        <v>357.15011742046579</v>
      </c>
      <c r="M61" s="22">
        <v>342.29662441269625</v>
      </c>
      <c r="N61" s="22">
        <v>345.97438321844237</v>
      </c>
      <c r="O61" s="22">
        <v>342.48962652634646</v>
      </c>
      <c r="P61" s="22">
        <v>349.65212615553207</v>
      </c>
      <c r="Q61" s="22">
        <v>344.84292604274316</v>
      </c>
      <c r="R61" s="22">
        <v>331.6288561866549</v>
      </c>
      <c r="S61" s="22">
        <v>332.03270771834929</v>
      </c>
      <c r="T61" s="22">
        <v>324.85908951371982</v>
      </c>
      <c r="U61" s="22">
        <v>319.86030054346918</v>
      </c>
      <c r="V61" s="22">
        <v>314.03633591141755</v>
      </c>
      <c r="W61" s="22">
        <v>316.07587727173734</v>
      </c>
      <c r="X61" s="22">
        <v>323.24402880477248</v>
      </c>
      <c r="Y61" s="22">
        <v>328.88779070043552</v>
      </c>
      <c r="Z61" s="22">
        <v>332.90221969212371</v>
      </c>
      <c r="AA61" s="22">
        <v>338.70312947530033</v>
      </c>
      <c r="AB61" s="22">
        <v>338.3050609664362</v>
      </c>
      <c r="AC61" s="22">
        <v>336.71105971370116</v>
      </c>
      <c r="AD61" s="22">
        <v>329.41730786687339</v>
      </c>
      <c r="AE61" s="22">
        <v>323.04314378782584</v>
      </c>
      <c r="AF61" s="22">
        <v>340.88622245284142</v>
      </c>
      <c r="AG61" s="22">
        <v>343.72406212489204</v>
      </c>
      <c r="AH61" s="22">
        <v>345.80099039692709</v>
      </c>
      <c r="AI61" s="22">
        <v>338.48064554073255</v>
      </c>
      <c r="AJ61" s="22">
        <v>328.58324982934789</v>
      </c>
      <c r="AK61" s="22">
        <v>318.03186186166118</v>
      </c>
      <c r="AL61" s="22">
        <v>312.3066372762483</v>
      </c>
      <c r="AM61" s="22">
        <v>311.28546071579211</v>
      </c>
      <c r="AN61" s="22">
        <v>304.16741255282301</v>
      </c>
      <c r="AO61" s="22">
        <v>296.65361728195182</v>
      </c>
      <c r="AP61" s="613"/>
      <c r="AQ61" s="615"/>
      <c r="AR61" s="613"/>
      <c r="AS61" s="615"/>
      <c r="AT61" s="613"/>
      <c r="AU61" s="615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</row>
    <row r="62" spans="1:72" s="24" customFormat="1" x14ac:dyDescent="0.25">
      <c r="A62" s="252" t="s">
        <v>71</v>
      </c>
      <c r="B62" s="254" t="s">
        <v>56</v>
      </c>
      <c r="C62" s="580"/>
      <c r="D62" s="109" t="s">
        <v>19</v>
      </c>
      <c r="E62" s="109" t="s">
        <v>241</v>
      </c>
      <c r="F62" s="109"/>
      <c r="G62" s="175" t="s">
        <v>312</v>
      </c>
      <c r="H62" s="22">
        <v>93.123038927029612</v>
      </c>
      <c r="I62" s="22">
        <v>90.247060667350866</v>
      </c>
      <c r="J62" s="22">
        <v>86.565194581028038</v>
      </c>
      <c r="K62" s="22">
        <v>85.809984505025</v>
      </c>
      <c r="L62" s="22">
        <v>85.056124412706922</v>
      </c>
      <c r="M62" s="22">
        <v>82.993748957579029</v>
      </c>
      <c r="N62" s="22">
        <v>83.398805757897065</v>
      </c>
      <c r="O62" s="22">
        <v>81.702776195582928</v>
      </c>
      <c r="P62" s="22">
        <v>83.804155092498405</v>
      </c>
      <c r="Q62" s="22">
        <v>81.598969172068081</v>
      </c>
      <c r="R62" s="22">
        <v>79.884205621821692</v>
      </c>
      <c r="S62" s="22">
        <v>80.886187029167189</v>
      </c>
      <c r="T62" s="22">
        <v>78.233722468190265</v>
      </c>
      <c r="U62" s="22">
        <v>76.129963452466157</v>
      </c>
      <c r="V62" s="22">
        <v>74.834941966530323</v>
      </c>
      <c r="W62" s="22">
        <v>75.478980953016901</v>
      </c>
      <c r="X62" s="22">
        <v>79.639036696302057</v>
      </c>
      <c r="Y62" s="22">
        <v>81.770975860705263</v>
      </c>
      <c r="Z62" s="22">
        <v>82.105134226862788</v>
      </c>
      <c r="AA62" s="22">
        <v>82.350203555363564</v>
      </c>
      <c r="AB62" s="22">
        <v>79.594045524852206</v>
      </c>
      <c r="AC62" s="22">
        <v>80.229305264880907</v>
      </c>
      <c r="AD62" s="22">
        <v>75.031788796266412</v>
      </c>
      <c r="AE62" s="22">
        <v>73.288611829608499</v>
      </c>
      <c r="AF62" s="22">
        <v>78.362867525415879</v>
      </c>
      <c r="AG62" s="22">
        <v>80.646433340200119</v>
      </c>
      <c r="AH62" s="22">
        <v>80.458021985580658</v>
      </c>
      <c r="AI62" s="22">
        <v>79.286216780017895</v>
      </c>
      <c r="AJ62" s="22">
        <v>76.710192389939849</v>
      </c>
      <c r="AK62" s="22">
        <v>75.08422486168098</v>
      </c>
      <c r="AL62" s="22">
        <v>73.571725693074114</v>
      </c>
      <c r="AM62" s="22">
        <v>74.139711149911335</v>
      </c>
      <c r="AN62" s="22">
        <v>73.023934325848714</v>
      </c>
      <c r="AO62" s="22">
        <v>71.550937732966503</v>
      </c>
      <c r="AP62" s="613"/>
      <c r="AQ62" s="615"/>
      <c r="AR62" s="613"/>
      <c r="AS62" s="615"/>
      <c r="AT62" s="613"/>
      <c r="AU62" s="615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</row>
    <row r="63" spans="1:72" s="24" customFormat="1" x14ac:dyDescent="0.25">
      <c r="A63" s="252" t="s">
        <v>72</v>
      </c>
      <c r="B63" s="254" t="s">
        <v>56</v>
      </c>
      <c r="C63" s="580"/>
      <c r="D63" s="109" t="s">
        <v>20</v>
      </c>
      <c r="E63" s="109" t="s">
        <v>242</v>
      </c>
      <c r="F63" s="109"/>
      <c r="G63" s="175" t="s">
        <v>312</v>
      </c>
      <c r="H63" s="22">
        <v>285.46037860164319</v>
      </c>
      <c r="I63" s="22">
        <v>289.24010249105731</v>
      </c>
      <c r="J63" s="22">
        <v>287.12329141505097</v>
      </c>
      <c r="K63" s="22">
        <v>293.04699355259311</v>
      </c>
      <c r="L63" s="22">
        <v>301.08894815572432</v>
      </c>
      <c r="M63" s="22">
        <v>298.01055895156895</v>
      </c>
      <c r="N63" s="22">
        <v>308.32910624732864</v>
      </c>
      <c r="O63" s="22">
        <v>306.99616075956635</v>
      </c>
      <c r="P63" s="22">
        <v>313.91948339983617</v>
      </c>
      <c r="Q63" s="22">
        <v>318.98958049264434</v>
      </c>
      <c r="R63" s="22">
        <v>318.34662841192358</v>
      </c>
      <c r="S63" s="22">
        <v>318.46713399689037</v>
      </c>
      <c r="T63" s="22">
        <v>312.76496061535454</v>
      </c>
      <c r="U63" s="22">
        <v>310.74822497102537</v>
      </c>
      <c r="V63" s="22">
        <v>314.13235776124031</v>
      </c>
      <c r="W63" s="22">
        <v>315.04547601157009</v>
      </c>
      <c r="X63" s="22">
        <v>330.90745534186715</v>
      </c>
      <c r="Y63" s="22">
        <v>340.42074184762799</v>
      </c>
      <c r="Z63" s="22">
        <v>348.81981290094245</v>
      </c>
      <c r="AA63" s="22">
        <v>333.04966955240747</v>
      </c>
      <c r="AB63" s="22">
        <v>327.13084871291125</v>
      </c>
      <c r="AC63" s="22">
        <v>325.64687359526272</v>
      </c>
      <c r="AD63" s="22">
        <v>330.34003002856025</v>
      </c>
      <c r="AE63" s="22">
        <v>329.84091945303675</v>
      </c>
      <c r="AF63" s="22">
        <v>348.38970695653194</v>
      </c>
      <c r="AG63" s="22">
        <v>334.85689305224975</v>
      </c>
      <c r="AH63" s="22">
        <v>331.63619454272623</v>
      </c>
      <c r="AI63" s="22">
        <v>341.87264265444503</v>
      </c>
      <c r="AJ63" s="22">
        <v>332.94967318954889</v>
      </c>
      <c r="AK63" s="22">
        <v>325.94327844723978</v>
      </c>
      <c r="AL63" s="22">
        <v>330.45953327367295</v>
      </c>
      <c r="AM63" s="22">
        <v>335.40814294652972</v>
      </c>
      <c r="AN63" s="22">
        <v>330.10279272413192</v>
      </c>
      <c r="AO63" s="22">
        <v>317.81139122299118</v>
      </c>
      <c r="AP63" s="613"/>
      <c r="AQ63" s="615"/>
      <c r="AR63" s="613"/>
      <c r="AS63" s="615"/>
      <c r="AT63" s="613"/>
      <c r="AU63" s="615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</row>
    <row r="64" spans="1:72" s="24" customFormat="1" x14ac:dyDescent="0.25">
      <c r="A64" s="252" t="s">
        <v>122</v>
      </c>
      <c r="B64" s="254" t="s">
        <v>56</v>
      </c>
      <c r="C64" s="580"/>
      <c r="D64" s="109" t="s">
        <v>123</v>
      </c>
      <c r="E64" s="109" t="s">
        <v>268</v>
      </c>
      <c r="F64" s="109"/>
      <c r="G64" s="175" t="s">
        <v>312</v>
      </c>
      <c r="H64" s="181">
        <f t="shared" ref="H64" si="5">SUM(H65:H67)</f>
        <v>2.3099999999999999E-2</v>
      </c>
      <c r="I64" s="181">
        <f t="shared" ref="I64:AO64" si="6">SUM(I65:I67)</f>
        <v>9.2492400000000006E-3</v>
      </c>
      <c r="J64" s="180">
        <f t="shared" si="6"/>
        <v>3.2451320000000006E-2</v>
      </c>
      <c r="K64" s="180">
        <f t="shared" si="6"/>
        <v>2.2004839999999998E-2</v>
      </c>
      <c r="L64" s="181">
        <f t="shared" si="6"/>
        <v>8.7999999999999988E-3</v>
      </c>
      <c r="M64" s="114">
        <f t="shared" si="6"/>
        <v>2.4369458069135801</v>
      </c>
      <c r="N64" s="114">
        <f t="shared" si="6"/>
        <v>2.6508298965432116</v>
      </c>
      <c r="O64" s="114">
        <f t="shared" si="6"/>
        <v>2.5593616019753092</v>
      </c>
      <c r="P64" s="114">
        <f t="shared" si="6"/>
        <v>2.5464230488888897</v>
      </c>
      <c r="Q64" s="114">
        <f t="shared" si="6"/>
        <v>2.7616834585185188</v>
      </c>
      <c r="R64" s="114">
        <f t="shared" si="6"/>
        <v>2.7621307511111111</v>
      </c>
      <c r="S64" s="114">
        <f t="shared" si="6"/>
        <v>2.6959684128395072</v>
      </c>
      <c r="T64" s="114">
        <f t="shared" si="6"/>
        <v>2.4154087303703711</v>
      </c>
      <c r="U64" s="114">
        <f t="shared" si="6"/>
        <v>4.6716002340740737</v>
      </c>
      <c r="V64" s="114">
        <f t="shared" si="6"/>
        <v>4.779621988641976</v>
      </c>
      <c r="W64" s="114">
        <f t="shared" si="6"/>
        <v>4.5326526558024689</v>
      </c>
      <c r="X64" s="114">
        <f t="shared" si="6"/>
        <v>4.4245318740740744</v>
      </c>
      <c r="Y64" s="114">
        <f t="shared" si="6"/>
        <v>4.0608959424240698</v>
      </c>
      <c r="Z64" s="114">
        <f t="shared" si="6"/>
        <v>7.018974987308642</v>
      </c>
      <c r="AA64" s="114">
        <f t="shared" si="6"/>
        <v>5.7231211653054324</v>
      </c>
      <c r="AB64" s="114">
        <f t="shared" si="6"/>
        <v>3.9040953039646284</v>
      </c>
      <c r="AC64" s="114">
        <f t="shared" si="6"/>
        <v>3.8345011486074636</v>
      </c>
      <c r="AD64" s="114">
        <f t="shared" si="6"/>
        <v>4.2417050398697338</v>
      </c>
      <c r="AE64" s="114">
        <f t="shared" si="6"/>
        <v>4.1998216606617333</v>
      </c>
      <c r="AF64" s="114">
        <f t="shared" si="6"/>
        <v>3.7299297304819001</v>
      </c>
      <c r="AG64" s="114">
        <f t="shared" si="6"/>
        <v>3.13851153046024</v>
      </c>
      <c r="AH64" s="114">
        <f t="shared" si="6"/>
        <v>3.5398872208062002</v>
      </c>
      <c r="AI64" s="114">
        <f t="shared" si="6"/>
        <v>4.2549495621201245</v>
      </c>
      <c r="AJ64" s="114">
        <f t="shared" si="6"/>
        <v>4.3505339522446995</v>
      </c>
      <c r="AK64" s="114">
        <f t="shared" si="6"/>
        <v>7.7373575984696927</v>
      </c>
      <c r="AL64" s="114">
        <f t="shared" si="6"/>
        <v>8.1130298121819457</v>
      </c>
      <c r="AM64" s="114">
        <f t="shared" si="6"/>
        <v>6.7747431634116673</v>
      </c>
      <c r="AN64" s="114">
        <f t="shared" si="6"/>
        <v>5.9878833042920672</v>
      </c>
      <c r="AO64" s="114">
        <f t="shared" si="6"/>
        <v>7.8789727900833508</v>
      </c>
      <c r="AP64" s="613"/>
      <c r="AQ64" s="615"/>
      <c r="AR64" s="613"/>
      <c r="AS64" s="615"/>
      <c r="AT64" s="613"/>
      <c r="AU64" s="615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</row>
    <row r="65" spans="1:72" s="136" customFormat="1" ht="12.75" x14ac:dyDescent="0.2">
      <c r="A65" s="252" t="s">
        <v>73</v>
      </c>
      <c r="B65" s="250" t="s">
        <v>56</v>
      </c>
      <c r="C65" s="569"/>
      <c r="D65" s="162" t="s">
        <v>139</v>
      </c>
      <c r="E65" s="162" t="s">
        <v>180</v>
      </c>
      <c r="F65" s="162"/>
      <c r="G65" s="196" t="s">
        <v>314</v>
      </c>
      <c r="H65" s="135">
        <v>2.3099999999999999E-2</v>
      </c>
      <c r="I65" s="135">
        <v>9.2492400000000006E-3</v>
      </c>
      <c r="J65" s="135">
        <v>3.2451320000000006E-2</v>
      </c>
      <c r="K65" s="135">
        <v>2.2004839999999998E-2</v>
      </c>
      <c r="L65" s="135">
        <v>8.7999999999999988E-3</v>
      </c>
      <c r="M65" s="135">
        <v>3.0799999999999997E-6</v>
      </c>
      <c r="N65" s="135">
        <v>1.7356020000000714E-2</v>
      </c>
      <c r="O65" s="135">
        <v>3.4708959999999997E-2</v>
      </c>
      <c r="P65" s="135">
        <v>6.1599999999999995E-6</v>
      </c>
      <c r="Q65" s="135">
        <v>1.1063800000000992E-3</v>
      </c>
      <c r="R65" s="135">
        <v>2.2065999999999995E-3</v>
      </c>
      <c r="S65" s="135">
        <v>1.11936E-3</v>
      </c>
      <c r="T65" s="135">
        <v>2.8419599999999993E-3</v>
      </c>
      <c r="U65" s="135">
        <v>2.4203065333333327</v>
      </c>
      <c r="V65" s="135">
        <v>2.6251791866666663</v>
      </c>
      <c r="W65" s="135">
        <v>2.4051975199999998</v>
      </c>
      <c r="X65" s="135">
        <v>1.73838852</v>
      </c>
      <c r="Y65" s="135">
        <v>1.0369714762512294</v>
      </c>
      <c r="Z65" s="135">
        <v>3.6735925942222227</v>
      </c>
      <c r="AA65" s="135">
        <v>3.0739770309844445</v>
      </c>
      <c r="AB65" s="135">
        <v>1.8583262646666663</v>
      </c>
      <c r="AC65" s="135">
        <v>1.9271194561666665</v>
      </c>
      <c r="AD65" s="135">
        <v>1.7916920999999999</v>
      </c>
      <c r="AE65" s="135">
        <v>1.8863734999999999</v>
      </c>
      <c r="AF65" s="135">
        <v>1.6110500266666667</v>
      </c>
      <c r="AG65" s="135">
        <v>1.3453975333333332</v>
      </c>
      <c r="AH65" s="135">
        <v>1.2491211333333334</v>
      </c>
      <c r="AI65" s="135">
        <v>1.5897757333333331</v>
      </c>
      <c r="AJ65" s="135">
        <v>1.7315657333333332</v>
      </c>
      <c r="AK65" s="135">
        <v>2.2879114133333327</v>
      </c>
      <c r="AL65" s="135">
        <v>3.5745599999999995</v>
      </c>
      <c r="AM65" s="135">
        <v>3.5400694266666668</v>
      </c>
      <c r="AN65" s="135">
        <v>2.8859085200000001</v>
      </c>
      <c r="AO65" s="135">
        <v>4.9082017233333328</v>
      </c>
      <c r="AP65" s="161"/>
    </row>
    <row r="66" spans="1:72" s="136" customFormat="1" ht="12.75" x14ac:dyDescent="0.2">
      <c r="A66" s="252" t="s">
        <v>96</v>
      </c>
      <c r="B66" s="250" t="s">
        <v>56</v>
      </c>
      <c r="C66" s="569"/>
      <c r="D66" s="162" t="s">
        <v>138</v>
      </c>
      <c r="E66" s="162" t="s">
        <v>181</v>
      </c>
      <c r="F66" s="162"/>
      <c r="G66" s="196" t="s">
        <v>314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6.6000000000000008E-3</v>
      </c>
      <c r="AG66" s="135">
        <v>6.6000000000000008E-3</v>
      </c>
      <c r="AH66" s="135">
        <v>0.3888133333333334</v>
      </c>
      <c r="AI66" s="135">
        <v>0.67158666666666655</v>
      </c>
      <c r="AJ66" s="135">
        <v>0.80886666666666673</v>
      </c>
      <c r="AK66" s="135">
        <v>3.1538393333333334</v>
      </c>
      <c r="AL66" s="135">
        <v>3.0699019999999999</v>
      </c>
      <c r="AM66" s="135">
        <v>1.3679600000000001</v>
      </c>
      <c r="AN66" s="135">
        <v>1.6001333333333332</v>
      </c>
      <c r="AO66" s="135">
        <v>1.8259450000000002</v>
      </c>
      <c r="AP66" s="161"/>
    </row>
    <row r="67" spans="1:72" s="136" customFormat="1" ht="12.75" x14ac:dyDescent="0.2">
      <c r="A67" s="252" t="s">
        <v>97</v>
      </c>
      <c r="B67" s="250" t="s">
        <v>56</v>
      </c>
      <c r="C67" s="569"/>
      <c r="D67" s="162" t="s">
        <v>140</v>
      </c>
      <c r="E67" s="162" t="s">
        <v>182</v>
      </c>
      <c r="F67" s="162"/>
      <c r="G67" s="196" t="s">
        <v>314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2.4369427269135802</v>
      </c>
      <c r="N67" s="135">
        <v>2.6334738765432109</v>
      </c>
      <c r="O67" s="135">
        <v>2.524652641975309</v>
      </c>
      <c r="P67" s="135">
        <v>2.5464168888888898</v>
      </c>
      <c r="Q67" s="135">
        <v>2.7605770785185189</v>
      </c>
      <c r="R67" s="135">
        <v>2.759924151111111</v>
      </c>
      <c r="S67" s="135">
        <v>2.694849052839507</v>
      </c>
      <c r="T67" s="135">
        <v>2.412566770370371</v>
      </c>
      <c r="U67" s="135">
        <v>2.2512937007407414</v>
      </c>
      <c r="V67" s="135">
        <v>2.1544428019753092</v>
      </c>
      <c r="W67" s="135">
        <v>2.1274551358024691</v>
      </c>
      <c r="X67" s="135">
        <v>2.6861433540740745</v>
      </c>
      <c r="Y67" s="135">
        <v>3.0239244661728399</v>
      </c>
      <c r="Z67" s="135">
        <v>3.3453823930864197</v>
      </c>
      <c r="AA67" s="135">
        <v>2.6491441343209883</v>
      </c>
      <c r="AB67" s="135">
        <v>2.0457690392979622</v>
      </c>
      <c r="AC67" s="135">
        <v>1.9073816924407969</v>
      </c>
      <c r="AD67" s="135">
        <v>2.4500129398697337</v>
      </c>
      <c r="AE67" s="135">
        <v>2.3134481606617334</v>
      </c>
      <c r="AF67" s="135">
        <v>2.1122797038152332</v>
      </c>
      <c r="AG67" s="135">
        <v>1.7865139971269068</v>
      </c>
      <c r="AH67" s="135">
        <v>1.9019527541395334</v>
      </c>
      <c r="AI67" s="135">
        <v>1.9935871621201251</v>
      </c>
      <c r="AJ67" s="135">
        <v>1.8101015522447002</v>
      </c>
      <c r="AK67" s="135">
        <v>2.295606851803027</v>
      </c>
      <c r="AL67" s="135">
        <v>1.468567812181947</v>
      </c>
      <c r="AM67" s="135">
        <v>1.8667137367450002</v>
      </c>
      <c r="AN67" s="135">
        <v>1.5018414509587346</v>
      </c>
      <c r="AO67" s="135">
        <v>1.1448260667500181</v>
      </c>
      <c r="AP67" s="161"/>
    </row>
    <row r="68" spans="1:72" s="25" customFormat="1" x14ac:dyDescent="0.25">
      <c r="A68" s="252" t="s">
        <v>52</v>
      </c>
      <c r="B68" s="254" t="s">
        <v>56</v>
      </c>
      <c r="C68" s="159"/>
      <c r="D68" s="111" t="s">
        <v>171</v>
      </c>
      <c r="E68" s="110"/>
      <c r="F68" s="110"/>
      <c r="G68" s="333" t="s">
        <v>313</v>
      </c>
      <c r="H68" s="23">
        <v>757.26583613456091</v>
      </c>
      <c r="I68" s="23">
        <v>745.56651811389327</v>
      </c>
      <c r="J68" s="23">
        <v>732.29699880886517</v>
      </c>
      <c r="K68" s="23">
        <v>735.23896768959082</v>
      </c>
      <c r="L68" s="23">
        <v>743.303989988897</v>
      </c>
      <c r="M68" s="23">
        <v>725.73787812875787</v>
      </c>
      <c r="N68" s="23">
        <v>740.35312512021119</v>
      </c>
      <c r="O68" s="23">
        <v>733.74792508347105</v>
      </c>
      <c r="P68" s="23">
        <v>749.92218769675549</v>
      </c>
      <c r="Q68" s="23">
        <v>748.19315916597407</v>
      </c>
      <c r="R68" s="23">
        <v>732.62182097151128</v>
      </c>
      <c r="S68" s="23">
        <v>734.08199715724618</v>
      </c>
      <c r="T68" s="23">
        <v>718.27318132763492</v>
      </c>
      <c r="U68" s="23">
        <v>711.41008920103468</v>
      </c>
      <c r="V68" s="23">
        <v>707.78325762783004</v>
      </c>
      <c r="W68" s="23">
        <v>711.13298689212684</v>
      </c>
      <c r="X68" s="23">
        <v>738.21505271701574</v>
      </c>
      <c r="Y68" s="23">
        <v>755.14040435119284</v>
      </c>
      <c r="Z68" s="23">
        <v>770.84614180723759</v>
      </c>
      <c r="AA68" s="23">
        <v>759.82612374837686</v>
      </c>
      <c r="AB68" s="23">
        <v>748.93405050816432</v>
      </c>
      <c r="AC68" s="23">
        <v>746.42173972245234</v>
      </c>
      <c r="AD68" s="23">
        <v>739.03083173156972</v>
      </c>
      <c r="AE68" s="23">
        <v>730.37249673113286</v>
      </c>
      <c r="AF68" s="23">
        <v>771.36872666527131</v>
      </c>
      <c r="AG68" s="23">
        <v>762.36590004780226</v>
      </c>
      <c r="AH68" s="23">
        <v>761.43509414604023</v>
      </c>
      <c r="AI68" s="23">
        <v>763.8944545373156</v>
      </c>
      <c r="AJ68" s="23">
        <v>742.59364936108125</v>
      </c>
      <c r="AK68" s="23">
        <v>726.79672276905148</v>
      </c>
      <c r="AL68" s="23">
        <v>724.45092605517732</v>
      </c>
      <c r="AM68" s="23">
        <v>727.6080579756449</v>
      </c>
      <c r="AN68" s="23">
        <v>713.28202290709578</v>
      </c>
      <c r="AO68" s="23">
        <v>693.89491902799296</v>
      </c>
      <c r="AP68" s="613"/>
      <c r="AQ68" s="615"/>
      <c r="AR68" s="613"/>
      <c r="AS68" s="615"/>
      <c r="AT68" s="613"/>
      <c r="AU68" s="615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</row>
    <row r="69" spans="1:72" s="149" customFormat="1" x14ac:dyDescent="0.25">
      <c r="A69" s="252"/>
      <c r="B69" s="254"/>
      <c r="C69" s="159"/>
      <c r="D69" s="159"/>
      <c r="E69" s="159"/>
      <c r="F69" s="159"/>
      <c r="G69" s="158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</row>
    <row r="70" spans="1:72" s="299" customFormat="1" ht="37.5" customHeight="1" x14ac:dyDescent="0.4">
      <c r="A70" s="260"/>
      <c r="B70" s="254" t="s">
        <v>56</v>
      </c>
      <c r="C70" s="300"/>
      <c r="D70" s="454" t="s">
        <v>251</v>
      </c>
      <c r="E70" s="300"/>
      <c r="F70" s="300"/>
      <c r="G70" s="295"/>
      <c r="H70" s="296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</row>
    <row r="71" spans="1:72" s="479" customFormat="1" ht="22.5" customHeight="1" x14ac:dyDescent="0.25">
      <c r="A71" s="632"/>
      <c r="B71" s="564"/>
      <c r="C71" s="477"/>
      <c r="D71" s="527" t="s">
        <v>183</v>
      </c>
      <c r="E71" s="477"/>
      <c r="F71" s="477"/>
      <c r="G71" s="478"/>
      <c r="H71" s="474">
        <v>1990</v>
      </c>
      <c r="I71" s="475">
        <v>1991</v>
      </c>
      <c r="J71" s="475">
        <v>1992</v>
      </c>
      <c r="K71" s="475">
        <v>1993</v>
      </c>
      <c r="L71" s="475">
        <v>1994</v>
      </c>
      <c r="M71" s="475">
        <v>1995</v>
      </c>
      <c r="N71" s="475">
        <v>1996</v>
      </c>
      <c r="O71" s="475">
        <v>1997</v>
      </c>
      <c r="P71" s="475">
        <v>1998</v>
      </c>
      <c r="Q71" s="475">
        <v>1999</v>
      </c>
      <c r="R71" s="475">
        <v>2000</v>
      </c>
      <c r="S71" s="475">
        <v>2001</v>
      </c>
      <c r="T71" s="475">
        <v>2002</v>
      </c>
      <c r="U71" s="475">
        <v>2003</v>
      </c>
      <c r="V71" s="475">
        <v>2004</v>
      </c>
      <c r="W71" s="475">
        <v>2005</v>
      </c>
      <c r="X71" s="475">
        <v>2006</v>
      </c>
      <c r="Y71" s="475">
        <v>2007</v>
      </c>
      <c r="Z71" s="475">
        <v>2008</v>
      </c>
      <c r="AA71" s="475">
        <v>2009</v>
      </c>
      <c r="AB71" s="475">
        <v>2010</v>
      </c>
      <c r="AC71" s="475">
        <v>2011</v>
      </c>
      <c r="AD71" s="475">
        <v>2012</v>
      </c>
      <c r="AE71" s="475">
        <v>2013</v>
      </c>
      <c r="AF71" s="475">
        <v>2014</v>
      </c>
      <c r="AG71" s="475">
        <v>2015</v>
      </c>
      <c r="AH71" s="475">
        <v>2016</v>
      </c>
      <c r="AI71" s="475">
        <v>2017</v>
      </c>
      <c r="AJ71" s="475">
        <v>2018</v>
      </c>
      <c r="AK71" s="475">
        <v>2019</v>
      </c>
      <c r="AL71" s="475">
        <v>2020</v>
      </c>
      <c r="AM71" s="475">
        <v>2021</v>
      </c>
      <c r="AN71" s="475">
        <v>2022</v>
      </c>
      <c r="AO71" s="475">
        <v>2023</v>
      </c>
      <c r="AP71" s="475"/>
      <c r="AQ71" s="475"/>
      <c r="AR71" s="475"/>
      <c r="AS71" s="475"/>
      <c r="AT71" s="475"/>
      <c r="AU71" s="475"/>
      <c r="AV71" s="475"/>
    </row>
    <row r="72" spans="1:72" s="16" customFormat="1" ht="24" customHeight="1" x14ac:dyDescent="0.25">
      <c r="A72" s="248"/>
      <c r="B72" s="254" t="s">
        <v>56</v>
      </c>
      <c r="C72" s="626"/>
      <c r="D72" s="626" t="str">
        <f>$D$3</f>
        <v>Söguleg losun | Historical Emissions</v>
      </c>
      <c r="E72" s="626"/>
      <c r="F72" s="626"/>
      <c r="G72" s="626"/>
      <c r="H72" s="154"/>
      <c r="I72" s="340"/>
      <c r="J72" s="337"/>
      <c r="K72" s="338"/>
      <c r="L72" s="153"/>
      <c r="M72" s="336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</row>
    <row r="73" spans="1:72" s="24" customFormat="1" x14ac:dyDescent="0.25">
      <c r="A73" s="248"/>
      <c r="B73" s="251" t="s">
        <v>124</v>
      </c>
      <c r="C73" s="623" t="s">
        <v>56</v>
      </c>
      <c r="D73" s="109" t="s">
        <v>21</v>
      </c>
      <c r="E73" s="109" t="s">
        <v>244</v>
      </c>
      <c r="F73" s="109"/>
      <c r="G73" s="175" t="s">
        <v>312</v>
      </c>
      <c r="H73" s="22">
        <v>151.02641530863835</v>
      </c>
      <c r="I73" s="22">
        <v>146.7099222824026</v>
      </c>
      <c r="J73" s="22">
        <v>139.01000568585877</v>
      </c>
      <c r="K73" s="22">
        <v>141.86515900675101</v>
      </c>
      <c r="L73" s="22">
        <v>144.56743178817928</v>
      </c>
      <c r="M73" s="22">
        <v>141.00061915735756</v>
      </c>
      <c r="N73" s="22">
        <v>147.78510753526686</v>
      </c>
      <c r="O73" s="22">
        <v>144.29633936061171</v>
      </c>
      <c r="P73" s="22">
        <v>146.44095981724908</v>
      </c>
      <c r="Q73" s="22">
        <v>150.93340054788189</v>
      </c>
      <c r="R73" s="22">
        <v>148.54734259688405</v>
      </c>
      <c r="S73" s="22">
        <v>148.26603485315269</v>
      </c>
      <c r="T73" s="22">
        <v>139.87541237755266</v>
      </c>
      <c r="U73" s="22">
        <v>137.53525903885819</v>
      </c>
      <c r="V73" s="22">
        <v>135.28847058361046</v>
      </c>
      <c r="W73" s="22">
        <v>133.1829773681734</v>
      </c>
      <c r="X73" s="22">
        <v>148.76013342468434</v>
      </c>
      <c r="Y73" s="22">
        <v>157.43983664582152</v>
      </c>
      <c r="Z73" s="22">
        <v>168.28386717990611</v>
      </c>
      <c r="AA73" s="22">
        <v>150.66708589395634</v>
      </c>
      <c r="AB73" s="22">
        <v>142.52261304563234</v>
      </c>
      <c r="AC73" s="22">
        <v>140.58808980616047</v>
      </c>
      <c r="AD73" s="22">
        <v>144.97917451788777</v>
      </c>
      <c r="AE73" s="22">
        <v>143.83391838473443</v>
      </c>
      <c r="AF73" s="22">
        <v>161.2532432547209</v>
      </c>
      <c r="AG73" s="22">
        <v>146.55418816070141</v>
      </c>
      <c r="AH73" s="22">
        <v>143.08251551810329</v>
      </c>
      <c r="AI73" s="22">
        <v>153.23325716596452</v>
      </c>
      <c r="AJ73" s="22">
        <v>143.55176112919858</v>
      </c>
      <c r="AK73" s="22">
        <v>138.69375685398992</v>
      </c>
      <c r="AL73" s="22">
        <v>142.46478840632048</v>
      </c>
      <c r="AM73" s="22">
        <v>145.13283230730684</v>
      </c>
      <c r="AN73" s="22">
        <v>137.81400673756815</v>
      </c>
      <c r="AO73" s="22">
        <v>126.50383382562947</v>
      </c>
      <c r="AP73" s="613"/>
      <c r="AQ73" s="615"/>
      <c r="AR73" s="613"/>
      <c r="AS73" s="615"/>
      <c r="AT73" s="613"/>
      <c r="AU73" s="615"/>
    </row>
    <row r="74" spans="1:72" s="24" customFormat="1" x14ac:dyDescent="0.25">
      <c r="A74" s="252"/>
      <c r="B74" s="251" t="s">
        <v>125</v>
      </c>
      <c r="C74" s="580"/>
      <c r="D74" s="109" t="s">
        <v>22</v>
      </c>
      <c r="E74" s="109" t="s">
        <v>184</v>
      </c>
      <c r="F74" s="109"/>
      <c r="G74" s="175" t="s">
        <v>312</v>
      </c>
      <c r="H74" s="22">
        <f t="shared" ref="H74" si="7">SUM(H75:H77)</f>
        <v>187.99922008517851</v>
      </c>
      <c r="I74" s="22">
        <f t="shared" ref="I74:AO74" si="8">SUM(I75:I77)</f>
        <v>190.62731302470232</v>
      </c>
      <c r="J74" s="22">
        <f t="shared" si="8"/>
        <v>191.97923705246859</v>
      </c>
      <c r="K74" s="22">
        <f t="shared" si="8"/>
        <v>187.51735829432474</v>
      </c>
      <c r="L74" s="22">
        <f t="shared" si="8"/>
        <v>183.71488732381209</v>
      </c>
      <c r="M74" s="22">
        <f t="shared" si="8"/>
        <v>183.99594135251223</v>
      </c>
      <c r="N74" s="22">
        <f t="shared" si="8"/>
        <v>185.97835399595934</v>
      </c>
      <c r="O74" s="22">
        <f t="shared" si="8"/>
        <v>177.16690313747938</v>
      </c>
      <c r="P74" s="22">
        <f t="shared" si="8"/>
        <v>179.45789888417841</v>
      </c>
      <c r="Q74" s="22">
        <f t="shared" si="8"/>
        <v>174.95964304393905</v>
      </c>
      <c r="R74" s="22">
        <f t="shared" si="8"/>
        <v>169.6876047374258</v>
      </c>
      <c r="S74" s="22">
        <f t="shared" si="8"/>
        <v>166.33435841474139</v>
      </c>
      <c r="T74" s="22">
        <f t="shared" si="8"/>
        <v>160.48116985988605</v>
      </c>
      <c r="U74" s="22">
        <f t="shared" si="8"/>
        <v>156.62353701153097</v>
      </c>
      <c r="V74" s="22">
        <f t="shared" si="8"/>
        <v>153.22325112049373</v>
      </c>
      <c r="W74" s="22">
        <f t="shared" si="8"/>
        <v>154.75640617103184</v>
      </c>
      <c r="X74" s="22">
        <f t="shared" si="8"/>
        <v>162.14081767711826</v>
      </c>
      <c r="Y74" s="22">
        <f t="shared" si="8"/>
        <v>168.0265092644716</v>
      </c>
      <c r="Z74" s="22">
        <f t="shared" si="8"/>
        <v>171.01180657066143</v>
      </c>
      <c r="AA74" s="22">
        <f t="shared" si="8"/>
        <v>173.26707065524792</v>
      </c>
      <c r="AB74" s="22">
        <f t="shared" si="8"/>
        <v>168.65301271736558</v>
      </c>
      <c r="AC74" s="22">
        <f t="shared" si="8"/>
        <v>168.09365790911397</v>
      </c>
      <c r="AD74" s="22">
        <f t="shared" si="8"/>
        <v>160.72356492645864</v>
      </c>
      <c r="AE74" s="22">
        <f t="shared" si="8"/>
        <v>156.93308716926356</v>
      </c>
      <c r="AF74" s="22">
        <f t="shared" si="8"/>
        <v>169.83474759378439</v>
      </c>
      <c r="AG74" s="22">
        <f t="shared" si="8"/>
        <v>179.68209300118593</v>
      </c>
      <c r="AH74" s="22">
        <f t="shared" si="8"/>
        <v>180.90812973883826</v>
      </c>
      <c r="AI74" s="22">
        <f t="shared" si="8"/>
        <v>180.97272068935544</v>
      </c>
      <c r="AJ74" s="22">
        <f t="shared" si="8"/>
        <v>181.74575147680756</v>
      </c>
      <c r="AK74" s="22">
        <f t="shared" si="8"/>
        <v>182.15530183027977</v>
      </c>
      <c r="AL74" s="22">
        <f t="shared" si="8"/>
        <v>180.82488273080631</v>
      </c>
      <c r="AM74" s="22">
        <f t="shared" si="8"/>
        <v>182.21848029104856</v>
      </c>
      <c r="AN74" s="22">
        <f t="shared" si="8"/>
        <v>181.03011203140289</v>
      </c>
      <c r="AO74" s="22">
        <f t="shared" si="8"/>
        <v>178.97421547805752</v>
      </c>
      <c r="AP74" s="613"/>
      <c r="AQ74" s="615"/>
      <c r="AR74" s="613"/>
      <c r="AS74" s="615"/>
      <c r="AT74" s="613"/>
      <c r="AU74" s="615"/>
    </row>
    <row r="75" spans="1:72" s="164" customFormat="1" ht="14.25" x14ac:dyDescent="0.2">
      <c r="A75" s="248" t="s">
        <v>74</v>
      </c>
      <c r="B75" s="251" t="s">
        <v>56</v>
      </c>
      <c r="C75" s="569"/>
      <c r="D75" s="162" t="s">
        <v>148</v>
      </c>
      <c r="E75" s="404" t="s">
        <v>351</v>
      </c>
      <c r="F75" s="162"/>
      <c r="G75" s="175" t="s">
        <v>312</v>
      </c>
      <c r="H75" s="197">
        <v>140.27725216687696</v>
      </c>
      <c r="I75" s="197">
        <v>142.47608160185115</v>
      </c>
      <c r="J75" s="197">
        <v>144.42157543052372</v>
      </c>
      <c r="K75" s="197">
        <v>141.14416982611249</v>
      </c>
      <c r="L75" s="197">
        <v>138.31275142296974</v>
      </c>
      <c r="M75" s="197">
        <v>138.73352521225652</v>
      </c>
      <c r="N75" s="197">
        <v>140.60761263143436</v>
      </c>
      <c r="O75" s="197">
        <v>133.77524568490153</v>
      </c>
      <c r="P75" s="197">
        <v>135.6476300049506</v>
      </c>
      <c r="Q75" s="197">
        <v>132.64780458915979</v>
      </c>
      <c r="R75" s="197">
        <v>128.80783676708114</v>
      </c>
      <c r="S75" s="197">
        <v>126.41646185756863</v>
      </c>
      <c r="T75" s="197">
        <v>122.13910027884847</v>
      </c>
      <c r="U75" s="197">
        <v>119.44963147882663</v>
      </c>
      <c r="V75" s="197">
        <v>116.8921120265554</v>
      </c>
      <c r="W75" s="197">
        <v>118.25756637327234</v>
      </c>
      <c r="X75" s="197">
        <v>123.93869571919758</v>
      </c>
      <c r="Y75" s="197">
        <v>128.30141321119001</v>
      </c>
      <c r="Z75" s="197">
        <v>130.67347819905751</v>
      </c>
      <c r="AA75" s="197">
        <v>132.32955594706726</v>
      </c>
      <c r="AB75" s="197">
        <v>128.8870747552952</v>
      </c>
      <c r="AC75" s="197">
        <v>128.68412691068818</v>
      </c>
      <c r="AD75" s="197">
        <v>123.37145381159225</v>
      </c>
      <c r="AE75" s="197">
        <v>120.67274607116791</v>
      </c>
      <c r="AF75" s="197">
        <v>130.80594206251106</v>
      </c>
      <c r="AG75" s="197">
        <v>138.64270622925415</v>
      </c>
      <c r="AH75" s="197">
        <v>139.97849657909154</v>
      </c>
      <c r="AI75" s="197">
        <v>140.31985511666213</v>
      </c>
      <c r="AJ75" s="197">
        <v>141.3123929644787</v>
      </c>
      <c r="AK75" s="197">
        <v>141.43847082631757</v>
      </c>
      <c r="AL75" s="197">
        <v>140.85995395925832</v>
      </c>
      <c r="AM75" s="197">
        <v>141.51740196365967</v>
      </c>
      <c r="AN75" s="197">
        <v>140.59413071428307</v>
      </c>
      <c r="AO75" s="197">
        <v>138.83830779133467</v>
      </c>
    </row>
    <row r="76" spans="1:72" s="164" customFormat="1" ht="14.25" x14ac:dyDescent="0.2">
      <c r="A76" s="248" t="s">
        <v>75</v>
      </c>
      <c r="B76" s="251" t="s">
        <v>56</v>
      </c>
      <c r="C76" s="569"/>
      <c r="D76" s="162" t="s">
        <v>149</v>
      </c>
      <c r="E76" s="404" t="s">
        <v>352</v>
      </c>
      <c r="F76" s="162"/>
      <c r="G76" s="175" t="s">
        <v>312</v>
      </c>
      <c r="H76" s="197">
        <v>47.402843665214412</v>
      </c>
      <c r="I76" s="197">
        <v>47.777388470279604</v>
      </c>
      <c r="J76" s="197">
        <v>47.130109729346032</v>
      </c>
      <c r="K76" s="197">
        <v>45.94312097836761</v>
      </c>
      <c r="L76" s="197">
        <v>44.979808990221066</v>
      </c>
      <c r="M76" s="197">
        <v>44.805516189546815</v>
      </c>
      <c r="N76" s="197">
        <v>44.883109270859023</v>
      </c>
      <c r="O76" s="197">
        <v>42.684900902498512</v>
      </c>
      <c r="P76" s="197">
        <v>42.925942463272747</v>
      </c>
      <c r="Q76" s="197">
        <v>41.412702364046361</v>
      </c>
      <c r="R76" s="197">
        <v>39.985839582969554</v>
      </c>
      <c r="S76" s="197">
        <v>39.016180301680706</v>
      </c>
      <c r="T76" s="197">
        <v>37.459753612043613</v>
      </c>
      <c r="U76" s="197">
        <v>36.148085749237104</v>
      </c>
      <c r="V76" s="197">
        <v>35.243151025954759</v>
      </c>
      <c r="W76" s="197">
        <v>35.439270555584457</v>
      </c>
      <c r="X76" s="197">
        <v>36.748721207445342</v>
      </c>
      <c r="Y76" s="197">
        <v>38.255897931469896</v>
      </c>
      <c r="Z76" s="197">
        <v>38.804935229190519</v>
      </c>
      <c r="AA76" s="197">
        <v>39.372707492663999</v>
      </c>
      <c r="AB76" s="197">
        <v>38.154981961019615</v>
      </c>
      <c r="AC76" s="197">
        <v>37.818850788622917</v>
      </c>
      <c r="AD76" s="197">
        <v>35.820389374006545</v>
      </c>
      <c r="AE76" s="197">
        <v>34.75070709131618</v>
      </c>
      <c r="AF76" s="197">
        <v>37.333812428718851</v>
      </c>
      <c r="AG76" s="197">
        <v>39.244496396801985</v>
      </c>
      <c r="AH76" s="197">
        <v>39.123903695549444</v>
      </c>
      <c r="AI76" s="197">
        <v>38.805327577202057</v>
      </c>
      <c r="AJ76" s="197">
        <v>38.57821333787026</v>
      </c>
      <c r="AK76" s="197">
        <v>38.909140671118315</v>
      </c>
      <c r="AL76" s="197">
        <v>38.145187014611352</v>
      </c>
      <c r="AM76" s="197">
        <v>38.896239262645054</v>
      </c>
      <c r="AN76" s="197">
        <v>38.653431614614135</v>
      </c>
      <c r="AO76" s="197">
        <v>38.375779993948157</v>
      </c>
    </row>
    <row r="77" spans="1:72" s="164" customFormat="1" ht="14.25" x14ac:dyDescent="0.2">
      <c r="A77" s="248" t="s">
        <v>76</v>
      </c>
      <c r="B77" s="251" t="s">
        <v>56</v>
      </c>
      <c r="C77" s="569"/>
      <c r="D77" s="162" t="s">
        <v>150</v>
      </c>
      <c r="E77" s="404" t="s">
        <v>353</v>
      </c>
      <c r="F77" s="162"/>
      <c r="G77" s="175" t="s">
        <v>312</v>
      </c>
      <c r="H77" s="339">
        <v>0.31912425308711895</v>
      </c>
      <c r="I77" s="339">
        <v>0.37384295257154332</v>
      </c>
      <c r="J77" s="339">
        <v>0.42755189259884274</v>
      </c>
      <c r="K77" s="339">
        <v>0.43006748984463417</v>
      </c>
      <c r="L77" s="339">
        <v>0.42232691062128391</v>
      </c>
      <c r="M77" s="339">
        <v>0.45689995070889766</v>
      </c>
      <c r="N77" s="339">
        <v>0.48763209366594679</v>
      </c>
      <c r="O77" s="163">
        <v>0.70675655007932237</v>
      </c>
      <c r="P77" s="163">
        <v>0.88432641595505912</v>
      </c>
      <c r="Q77" s="163">
        <v>0.89913609073289613</v>
      </c>
      <c r="R77" s="163">
        <v>0.89392838737511215</v>
      </c>
      <c r="S77" s="163">
        <v>0.90171625549207202</v>
      </c>
      <c r="T77" s="163">
        <v>0.88231596899395859</v>
      </c>
      <c r="U77" s="163">
        <v>1.0258197834672407</v>
      </c>
      <c r="V77" s="163">
        <v>1.087988067983598</v>
      </c>
      <c r="W77" s="163">
        <v>1.0595692421750613</v>
      </c>
      <c r="X77" s="163">
        <v>1.4534007504753466</v>
      </c>
      <c r="Y77" s="163">
        <v>1.4691981218117001</v>
      </c>
      <c r="Z77" s="163">
        <v>1.533393142413412</v>
      </c>
      <c r="AA77" s="163">
        <v>1.5648072155166448</v>
      </c>
      <c r="AB77" s="163">
        <v>1.6109560010507806</v>
      </c>
      <c r="AC77" s="163">
        <v>1.5906802098028718</v>
      </c>
      <c r="AD77" s="163">
        <v>1.5317217408598376</v>
      </c>
      <c r="AE77" s="163">
        <v>1.5096340067794778</v>
      </c>
      <c r="AF77" s="163">
        <v>1.6949931025544573</v>
      </c>
      <c r="AG77" s="163">
        <v>1.7948903751297918</v>
      </c>
      <c r="AH77" s="163">
        <v>1.8057294641972745</v>
      </c>
      <c r="AI77" s="163">
        <v>1.8475379954912636</v>
      </c>
      <c r="AJ77" s="163">
        <v>1.8551451744585874</v>
      </c>
      <c r="AK77" s="163">
        <v>1.8076903328438771</v>
      </c>
      <c r="AL77" s="163">
        <v>1.8197417569366334</v>
      </c>
      <c r="AM77" s="163">
        <v>1.8048390647438572</v>
      </c>
      <c r="AN77" s="163">
        <v>1.7825497025056769</v>
      </c>
      <c r="AO77" s="163">
        <v>1.7601276927746843</v>
      </c>
    </row>
    <row r="78" spans="1:72" s="24" customFormat="1" x14ac:dyDescent="0.25">
      <c r="A78" s="252"/>
      <c r="B78" s="251" t="s">
        <v>126</v>
      </c>
      <c r="C78" s="580"/>
      <c r="D78" s="109" t="s">
        <v>23</v>
      </c>
      <c r="E78" s="109" t="s">
        <v>185</v>
      </c>
      <c r="F78" s="109"/>
      <c r="G78" s="175" t="s">
        <v>312</v>
      </c>
      <c r="H78" s="22">
        <f t="shared" ref="H78" si="9">SUM(H79:H81)</f>
        <v>232.67814757369445</v>
      </c>
      <c r="I78" s="22">
        <f t="shared" ref="I78:AO78" si="10">SUM(I79:I81)</f>
        <v>215.53232986075901</v>
      </c>
      <c r="J78" s="22">
        <f t="shared" si="10"/>
        <v>204.67702358001839</v>
      </c>
      <c r="K78" s="22">
        <f t="shared" si="10"/>
        <v>205.03549771918404</v>
      </c>
      <c r="L78" s="22">
        <f t="shared" si="10"/>
        <v>208.30506502958414</v>
      </c>
      <c r="M78" s="22">
        <f t="shared" si="10"/>
        <v>191.24976082106613</v>
      </c>
      <c r="N78" s="22">
        <f t="shared" si="10"/>
        <v>192.47328147554617</v>
      </c>
      <c r="O78" s="22">
        <f t="shared" si="10"/>
        <v>196.49426052130917</v>
      </c>
      <c r="P78" s="22">
        <f t="shared" si="10"/>
        <v>202.35493537811325</v>
      </c>
      <c r="Q78" s="22">
        <f t="shared" si="10"/>
        <v>200.75952740557258</v>
      </c>
      <c r="R78" s="22">
        <f t="shared" si="10"/>
        <v>191.92472116126658</v>
      </c>
      <c r="S78" s="22">
        <f t="shared" si="10"/>
        <v>194.4061969052853</v>
      </c>
      <c r="T78" s="22">
        <f t="shared" si="10"/>
        <v>192.60576126998507</v>
      </c>
      <c r="U78" s="22">
        <f t="shared" si="10"/>
        <v>189.75797330209153</v>
      </c>
      <c r="V78" s="22">
        <f t="shared" si="10"/>
        <v>185.93829643309417</v>
      </c>
      <c r="W78" s="22">
        <f t="shared" si="10"/>
        <v>185.22702706761959</v>
      </c>
      <c r="X78" s="22">
        <f t="shared" si="10"/>
        <v>186.30783275376959</v>
      </c>
      <c r="Y78" s="22">
        <f t="shared" si="10"/>
        <v>187.0361447029739</v>
      </c>
      <c r="Z78" s="22">
        <f t="shared" si="10"/>
        <v>188.60458574825802</v>
      </c>
      <c r="AA78" s="22">
        <f t="shared" si="10"/>
        <v>193.63472041831696</v>
      </c>
      <c r="AB78" s="22">
        <f t="shared" si="10"/>
        <v>197.41433819507782</v>
      </c>
      <c r="AC78" s="22">
        <f t="shared" si="10"/>
        <v>194.85534230727703</v>
      </c>
      <c r="AD78" s="22">
        <f t="shared" si="10"/>
        <v>193.34269282610603</v>
      </c>
      <c r="AE78" s="22">
        <f t="shared" si="10"/>
        <v>190.09880367385705</v>
      </c>
      <c r="AF78" s="22">
        <f t="shared" si="10"/>
        <v>196.89191128239</v>
      </c>
      <c r="AG78" s="22">
        <f t="shared" si="10"/>
        <v>191.05446482079472</v>
      </c>
      <c r="AH78" s="22">
        <f t="shared" si="10"/>
        <v>191.65988004740157</v>
      </c>
      <c r="AI78" s="22">
        <f t="shared" si="10"/>
        <v>183.85393656117927</v>
      </c>
      <c r="AJ78" s="22">
        <f t="shared" si="10"/>
        <v>174.78233091527116</v>
      </c>
      <c r="AK78" s="22">
        <f t="shared" si="10"/>
        <v>162.10743239472703</v>
      </c>
      <c r="AL78" s="22">
        <f t="shared" si="10"/>
        <v>155.90094787440779</v>
      </c>
      <c r="AM78" s="22">
        <f t="shared" si="10"/>
        <v>155.49864930407819</v>
      </c>
      <c r="AN78" s="22">
        <f t="shared" si="10"/>
        <v>148.80534613259476</v>
      </c>
      <c r="AO78" s="22">
        <f t="shared" si="10"/>
        <v>143.1725515504483</v>
      </c>
      <c r="AP78" s="613"/>
      <c r="AQ78" s="615"/>
      <c r="AR78" s="613"/>
      <c r="AS78" s="615"/>
      <c r="AT78" s="613"/>
      <c r="AU78" s="615"/>
    </row>
    <row r="79" spans="1:72" s="164" customFormat="1" ht="14.25" x14ac:dyDescent="0.2">
      <c r="A79" s="248" t="s">
        <v>77</v>
      </c>
      <c r="B79" s="251" t="s">
        <v>56</v>
      </c>
      <c r="C79" s="569"/>
      <c r="D79" s="162" t="s">
        <v>148</v>
      </c>
      <c r="E79" s="404" t="s">
        <v>351</v>
      </c>
      <c r="F79" s="162"/>
      <c r="G79" s="175" t="s">
        <v>312</v>
      </c>
      <c r="H79" s="197">
        <v>209.44168884409919</v>
      </c>
      <c r="I79" s="197">
        <v>194.07510528119235</v>
      </c>
      <c r="J79" s="197">
        <v>184.31618479494935</v>
      </c>
      <c r="K79" s="197">
        <v>184.73105604903253</v>
      </c>
      <c r="L79" s="197">
        <v>187.67963571386736</v>
      </c>
      <c r="M79" s="197">
        <v>172.42887405439868</v>
      </c>
      <c r="N79" s="197">
        <v>173.52509228614227</v>
      </c>
      <c r="O79" s="197">
        <v>177.12806910770368</v>
      </c>
      <c r="P79" s="197">
        <v>182.3542085843292</v>
      </c>
      <c r="Q79" s="197">
        <v>181.18030329003847</v>
      </c>
      <c r="R79" s="197">
        <v>173.1970270806263</v>
      </c>
      <c r="S79" s="197">
        <v>175.44631738322229</v>
      </c>
      <c r="T79" s="197">
        <v>173.87572348060769</v>
      </c>
      <c r="U79" s="197">
        <v>171.36821667381633</v>
      </c>
      <c r="V79" s="197">
        <v>167.79591023787438</v>
      </c>
      <c r="W79" s="197">
        <v>167.39142189197264</v>
      </c>
      <c r="X79" s="197">
        <v>168.21797031140531</v>
      </c>
      <c r="Y79" s="197">
        <v>168.89023359801496</v>
      </c>
      <c r="Z79" s="197">
        <v>170.32486543602153</v>
      </c>
      <c r="AA79" s="197">
        <v>174.87090715523843</v>
      </c>
      <c r="AB79" s="197">
        <v>178.22710327365229</v>
      </c>
      <c r="AC79" s="197">
        <v>176.15622498836785</v>
      </c>
      <c r="AD79" s="197">
        <v>174.91676784268967</v>
      </c>
      <c r="AE79" s="197">
        <v>172.11761451056481</v>
      </c>
      <c r="AF79" s="197">
        <v>178.41765938602592</v>
      </c>
      <c r="AG79" s="197">
        <v>173.32667884810991</v>
      </c>
      <c r="AH79" s="197">
        <v>174.04917622198764</v>
      </c>
      <c r="AI79" s="197">
        <v>167.06771795295572</v>
      </c>
      <c r="AJ79" s="197">
        <v>159.06704599850843</v>
      </c>
      <c r="AK79" s="197">
        <v>147.45169304841366</v>
      </c>
      <c r="AL79" s="197">
        <v>141.85035093896818</v>
      </c>
      <c r="AM79" s="197">
        <v>141.23992981101776</v>
      </c>
      <c r="AN79" s="197">
        <v>135.17740665981466</v>
      </c>
      <c r="AO79" s="197">
        <v>130.03431265320768</v>
      </c>
    </row>
    <row r="80" spans="1:72" s="164" customFormat="1" ht="14.25" x14ac:dyDescent="0.2">
      <c r="A80" s="248" t="s">
        <v>78</v>
      </c>
      <c r="B80" s="251" t="s">
        <v>56</v>
      </c>
      <c r="C80" s="569"/>
      <c r="D80" s="162" t="s">
        <v>149</v>
      </c>
      <c r="E80" s="404" t="s">
        <v>352</v>
      </c>
      <c r="F80" s="162"/>
      <c r="G80" s="175" t="s">
        <v>312</v>
      </c>
      <c r="H80" s="163">
        <v>18.657714170969307</v>
      </c>
      <c r="I80" s="163">
        <v>17.194200718030444</v>
      </c>
      <c r="J80" s="163">
        <v>16.276425534417285</v>
      </c>
      <c r="K80" s="163">
        <v>16.195548843044097</v>
      </c>
      <c r="L80" s="163">
        <v>16.410598472052708</v>
      </c>
      <c r="M80" s="163">
        <v>14.943305734470325</v>
      </c>
      <c r="N80" s="163">
        <v>15.00617053548955</v>
      </c>
      <c r="O80" s="163">
        <v>15.298440575871542</v>
      </c>
      <c r="P80" s="163">
        <v>15.798965177702431</v>
      </c>
      <c r="Q80" s="163">
        <v>15.396426236073555</v>
      </c>
      <c r="R80" s="163">
        <v>14.716063629451481</v>
      </c>
      <c r="S80" s="163">
        <v>14.849034631827037</v>
      </c>
      <c r="T80" s="163">
        <v>14.622070558623454</v>
      </c>
      <c r="U80" s="163">
        <v>14.310735363679246</v>
      </c>
      <c r="V80" s="163">
        <v>13.956410269803126</v>
      </c>
      <c r="W80" s="163">
        <v>13.945886402748831</v>
      </c>
      <c r="X80" s="163">
        <v>14.078473897771525</v>
      </c>
      <c r="Y80" s="163">
        <v>14.175288890684897</v>
      </c>
      <c r="Z80" s="163">
        <v>14.332394624087069</v>
      </c>
      <c r="AA80" s="163">
        <v>14.799868489297438</v>
      </c>
      <c r="AB80" s="163">
        <v>15.065591188234196</v>
      </c>
      <c r="AC80" s="163">
        <v>14.721483716442759</v>
      </c>
      <c r="AD80" s="163">
        <v>14.492349575147534</v>
      </c>
      <c r="AE80" s="163">
        <v>14.138671700372878</v>
      </c>
      <c r="AF80" s="163">
        <v>14.528789023791406</v>
      </c>
      <c r="AG80" s="163">
        <v>13.944825534992502</v>
      </c>
      <c r="AH80" s="163">
        <v>13.850074168823449</v>
      </c>
      <c r="AI80" s="163">
        <v>13.182333140294675</v>
      </c>
      <c r="AJ80" s="163">
        <v>12.343542624976489</v>
      </c>
      <c r="AK80" s="163">
        <v>11.503073083539995</v>
      </c>
      <c r="AL80" s="163">
        <v>11.04026940632205</v>
      </c>
      <c r="AM80" s="163">
        <v>11.215580297874165</v>
      </c>
      <c r="AN80" s="163">
        <v>10.71980081823421</v>
      </c>
      <c r="AO80" s="163">
        <v>10.333652960747944</v>
      </c>
    </row>
    <row r="81" spans="1:48" s="164" customFormat="1" ht="14.25" x14ac:dyDescent="0.2">
      <c r="A81" s="248" t="s">
        <v>79</v>
      </c>
      <c r="B81" s="251" t="s">
        <v>56</v>
      </c>
      <c r="C81" s="569"/>
      <c r="D81" s="162" t="s">
        <v>150</v>
      </c>
      <c r="E81" s="404" t="s">
        <v>353</v>
      </c>
      <c r="F81" s="162"/>
      <c r="G81" s="175" t="s">
        <v>312</v>
      </c>
      <c r="H81" s="163">
        <v>4.5787445586259539</v>
      </c>
      <c r="I81" s="163">
        <v>4.2630238615361931</v>
      </c>
      <c r="J81" s="163">
        <v>4.0844132506517594</v>
      </c>
      <c r="K81" s="163">
        <v>4.1088928271074074</v>
      </c>
      <c r="L81" s="163">
        <v>4.214830843664088</v>
      </c>
      <c r="M81" s="163">
        <v>3.8775810321971251</v>
      </c>
      <c r="N81" s="163">
        <v>3.9420186539143431</v>
      </c>
      <c r="O81" s="163">
        <v>4.0677508377339366</v>
      </c>
      <c r="P81" s="163">
        <v>4.2017616160816171</v>
      </c>
      <c r="Q81" s="163">
        <v>4.1827978794605576</v>
      </c>
      <c r="R81" s="163">
        <v>4.011630451188819</v>
      </c>
      <c r="S81" s="163">
        <v>4.1108448902359553</v>
      </c>
      <c r="T81" s="163">
        <v>4.1079672307539417</v>
      </c>
      <c r="U81" s="163">
        <v>4.0790212645959558</v>
      </c>
      <c r="V81" s="163">
        <v>4.1859759254166775</v>
      </c>
      <c r="W81" s="163">
        <v>3.8897187728981177</v>
      </c>
      <c r="X81" s="163">
        <v>4.0113885445927684</v>
      </c>
      <c r="Y81" s="163">
        <v>3.9706222142740382</v>
      </c>
      <c r="Z81" s="163">
        <v>3.9473256881494332</v>
      </c>
      <c r="AA81" s="163">
        <v>3.9639447737810807</v>
      </c>
      <c r="AB81" s="163">
        <v>4.1216437331913145</v>
      </c>
      <c r="AC81" s="163">
        <v>3.9776336024664127</v>
      </c>
      <c r="AD81" s="163">
        <v>3.9335754082688252</v>
      </c>
      <c r="AE81" s="163">
        <v>3.842517462919389</v>
      </c>
      <c r="AF81" s="163">
        <v>3.9454628725726737</v>
      </c>
      <c r="AG81" s="163">
        <v>3.7829604376923189</v>
      </c>
      <c r="AH81" s="163">
        <v>3.7606296565904715</v>
      </c>
      <c r="AI81" s="163">
        <v>3.603885467928877</v>
      </c>
      <c r="AJ81" s="163">
        <v>3.3717422917862252</v>
      </c>
      <c r="AK81" s="163">
        <v>3.1526662627733728</v>
      </c>
      <c r="AL81" s="163">
        <v>3.0103275291175655</v>
      </c>
      <c r="AM81" s="163">
        <v>3.0431391951862619</v>
      </c>
      <c r="AN81" s="163">
        <v>2.9081386545459003</v>
      </c>
      <c r="AO81" s="163">
        <v>2.8045859364926811</v>
      </c>
    </row>
    <row r="82" spans="1:48" s="24" customFormat="1" x14ac:dyDescent="0.25">
      <c r="A82" s="252"/>
      <c r="B82" s="251" t="s">
        <v>127</v>
      </c>
      <c r="C82" s="623" t="s">
        <v>56</v>
      </c>
      <c r="D82" s="109" t="s">
        <v>24</v>
      </c>
      <c r="E82" s="109" t="s">
        <v>186</v>
      </c>
      <c r="F82" s="109"/>
      <c r="G82" s="175" t="s">
        <v>312</v>
      </c>
      <c r="H82" s="22">
        <f t="shared" ref="H82" si="11">SUM(H83:H85)</f>
        <v>28.856858965696219</v>
      </c>
      <c r="I82" s="22">
        <f t="shared" ref="I82:AO82" si="12">SUM(I83:I85)</f>
        <v>29.637917698303077</v>
      </c>
      <c r="J82" s="22">
        <f t="shared" si="12"/>
        <v>30.065885064956468</v>
      </c>
      <c r="K82" s="22">
        <f t="shared" si="12"/>
        <v>30.685524129499751</v>
      </c>
      <c r="L82" s="22">
        <f t="shared" si="12"/>
        <v>31.345733761060597</v>
      </c>
      <c r="M82" s="22">
        <f t="shared" si="12"/>
        <v>31.280543961615876</v>
      </c>
      <c r="N82" s="22">
        <f t="shared" si="12"/>
        <v>32.091649413910709</v>
      </c>
      <c r="O82" s="22">
        <f t="shared" si="12"/>
        <v>31.816197318097522</v>
      </c>
      <c r="P82" s="22">
        <f t="shared" si="12"/>
        <v>31.705676165194941</v>
      </c>
      <c r="Q82" s="22">
        <f t="shared" si="12"/>
        <v>31.039802229199488</v>
      </c>
      <c r="R82" s="22">
        <f t="shared" si="12"/>
        <v>29.583111812050767</v>
      </c>
      <c r="S82" s="22">
        <f t="shared" si="12"/>
        <v>29.695054532344781</v>
      </c>
      <c r="T82" s="22">
        <f t="shared" si="12"/>
        <v>28.465347673563389</v>
      </c>
      <c r="U82" s="22">
        <f t="shared" si="12"/>
        <v>28.765137603537266</v>
      </c>
      <c r="V82" s="22">
        <f t="shared" si="12"/>
        <v>29.036866146439124</v>
      </c>
      <c r="W82" s="22">
        <f t="shared" si="12"/>
        <v>30.01989692852823</v>
      </c>
      <c r="X82" s="22">
        <f t="shared" si="12"/>
        <v>30.320977028024242</v>
      </c>
      <c r="Y82" s="22">
        <f t="shared" si="12"/>
        <v>30.791591354731743</v>
      </c>
      <c r="Z82" s="22">
        <f t="shared" si="12"/>
        <v>31.146561057354372</v>
      </c>
      <c r="AA82" s="22">
        <f t="shared" si="12"/>
        <v>30.88485592679833</v>
      </c>
      <c r="AB82" s="22">
        <f t="shared" si="12"/>
        <v>30.824852177953996</v>
      </c>
      <c r="AC82" s="22">
        <f t="shared" si="12"/>
        <v>31.270928595429108</v>
      </c>
      <c r="AD82" s="22">
        <f t="shared" si="12"/>
        <v>30.96658899741459</v>
      </c>
      <c r="AE82" s="22">
        <f t="shared" si="12"/>
        <v>30.014140279220655</v>
      </c>
      <c r="AF82" s="22">
        <f t="shared" si="12"/>
        <v>31.212971740062237</v>
      </c>
      <c r="AG82" s="22">
        <f t="shared" si="12"/>
        <v>31.067569904931791</v>
      </c>
      <c r="AH82" s="22">
        <f t="shared" si="12"/>
        <v>31.031019351880648</v>
      </c>
      <c r="AI82" s="22">
        <f t="shared" si="12"/>
        <v>30.210499454736265</v>
      </c>
      <c r="AJ82" s="22">
        <f t="shared" si="12"/>
        <v>27.205483729980699</v>
      </c>
      <c r="AK82" s="22">
        <f t="shared" si="12"/>
        <v>28.303494358719895</v>
      </c>
      <c r="AL82" s="22">
        <f t="shared" si="12"/>
        <v>28.733296847518336</v>
      </c>
      <c r="AM82" s="22">
        <f t="shared" si="12"/>
        <v>27.617411130790618</v>
      </c>
      <c r="AN82" s="22">
        <f t="shared" si="12"/>
        <v>27.401309320780232</v>
      </c>
      <c r="AO82" s="22">
        <f t="shared" si="12"/>
        <v>26.816713905848427</v>
      </c>
      <c r="AP82" s="613"/>
      <c r="AQ82" s="615"/>
      <c r="AR82" s="613"/>
      <c r="AS82" s="615"/>
      <c r="AT82" s="613"/>
      <c r="AU82" s="615"/>
    </row>
    <row r="83" spans="1:48" s="164" customFormat="1" x14ac:dyDescent="0.2">
      <c r="A83" s="248" t="s">
        <v>80</v>
      </c>
      <c r="B83" s="251" t="s">
        <v>56</v>
      </c>
      <c r="C83" s="623" t="s">
        <v>56</v>
      </c>
      <c r="D83" s="162" t="s">
        <v>148</v>
      </c>
      <c r="E83" s="404" t="s">
        <v>351</v>
      </c>
      <c r="F83" s="162"/>
      <c r="G83" s="175" t="s">
        <v>312</v>
      </c>
      <c r="H83" s="197">
        <v>27.091705501743526</v>
      </c>
      <c r="I83" s="197">
        <v>27.838801523634892</v>
      </c>
      <c r="J83" s="197">
        <v>28.254710649223902</v>
      </c>
      <c r="K83" s="197">
        <v>28.836396604412762</v>
      </c>
      <c r="L83" s="197">
        <v>29.483366355329</v>
      </c>
      <c r="M83" s="197">
        <v>29.431163769606925</v>
      </c>
      <c r="N83" s="197">
        <v>30.172330457991215</v>
      </c>
      <c r="O83" s="197">
        <v>29.898511391548539</v>
      </c>
      <c r="P83" s="197">
        <v>29.780719374351303</v>
      </c>
      <c r="Q83" s="197">
        <v>29.12610872974038</v>
      </c>
      <c r="R83" s="197">
        <v>27.738216799038078</v>
      </c>
      <c r="S83" s="197">
        <v>27.82358086339508</v>
      </c>
      <c r="T83" s="197">
        <v>26.652170732850553</v>
      </c>
      <c r="U83" s="197">
        <v>26.916851290434387</v>
      </c>
      <c r="V83" s="197">
        <v>27.192840370686351</v>
      </c>
      <c r="W83" s="197">
        <v>28.104582369910759</v>
      </c>
      <c r="X83" s="197">
        <v>28.410462626296329</v>
      </c>
      <c r="Y83" s="197">
        <v>28.860694646361853</v>
      </c>
      <c r="Z83" s="197">
        <v>29.208508127343844</v>
      </c>
      <c r="AA83" s="197">
        <v>28.964824745633003</v>
      </c>
      <c r="AB83" s="197">
        <v>28.91900994703968</v>
      </c>
      <c r="AC83" s="197">
        <v>29.320217993160121</v>
      </c>
      <c r="AD83" s="197">
        <v>29.038553220938713</v>
      </c>
      <c r="AE83" s="197">
        <v>28.145405680672049</v>
      </c>
      <c r="AF83" s="197">
        <v>29.269595728904051</v>
      </c>
      <c r="AG83" s="197">
        <v>29.133246874717685</v>
      </c>
      <c r="AH83" s="197">
        <v>29.098972025133214</v>
      </c>
      <c r="AI83" s="197">
        <v>28.329539179169601</v>
      </c>
      <c r="AJ83" s="197">
        <v>25.51162116242072</v>
      </c>
      <c r="AK83" s="197">
        <v>26.541267665704037</v>
      </c>
      <c r="AL83" s="197">
        <v>26.94430987505126</v>
      </c>
      <c r="AM83" s="197">
        <v>25.897901219051448</v>
      </c>
      <c r="AN83" s="197">
        <v>25.695254298150616</v>
      </c>
      <c r="AO83" s="197">
        <v>25.147056849906271</v>
      </c>
    </row>
    <row r="84" spans="1:48" s="164" customFormat="1" x14ac:dyDescent="0.2">
      <c r="A84" s="248" t="s">
        <v>81</v>
      </c>
      <c r="B84" s="251" t="s">
        <v>56</v>
      </c>
      <c r="C84" s="623" t="s">
        <v>56</v>
      </c>
      <c r="D84" s="162" t="s">
        <v>149</v>
      </c>
      <c r="E84" s="404" t="s">
        <v>352</v>
      </c>
      <c r="F84" s="162"/>
      <c r="G84" s="175" t="s">
        <v>312</v>
      </c>
      <c r="H84" s="163">
        <v>1.2210998455586393</v>
      </c>
      <c r="I84" s="163">
        <v>1.2474707897555559</v>
      </c>
      <c r="J84" s="163">
        <v>1.2577972816161664</v>
      </c>
      <c r="K84" s="163">
        <v>1.2844554266633055</v>
      </c>
      <c r="L84" s="163">
        <v>1.2980007683755002</v>
      </c>
      <c r="M84" s="163">
        <v>1.2908082978895419</v>
      </c>
      <c r="N84" s="163">
        <v>1.3372352417823197</v>
      </c>
      <c r="O84" s="163">
        <v>1.3341232236986111</v>
      </c>
      <c r="P84" s="163">
        <v>1.337686598763667</v>
      </c>
      <c r="Q84" s="163">
        <v>1.326272970620209</v>
      </c>
      <c r="R84" s="163">
        <v>1.2752751325507083</v>
      </c>
      <c r="S84" s="163">
        <v>1.2910037218551669</v>
      </c>
      <c r="T84" s="163">
        <v>1.2466332171147363</v>
      </c>
      <c r="U84" s="163">
        <v>1.267516077322931</v>
      </c>
      <c r="V84" s="163">
        <v>1.2667760719064309</v>
      </c>
      <c r="W84" s="163">
        <v>1.3149461975725838</v>
      </c>
      <c r="X84" s="163">
        <v>1.314035666651264</v>
      </c>
      <c r="Y84" s="163">
        <v>1.3298163690132225</v>
      </c>
      <c r="Z84" s="163">
        <v>1.3359188080464723</v>
      </c>
      <c r="AA84" s="163">
        <v>1.3247049466234306</v>
      </c>
      <c r="AB84" s="163">
        <v>1.3164942448973194</v>
      </c>
      <c r="AC84" s="163">
        <v>1.3458003122994309</v>
      </c>
      <c r="AD84" s="163">
        <v>1.3298068774187264</v>
      </c>
      <c r="AE84" s="163">
        <v>1.2889056061825344</v>
      </c>
      <c r="AF84" s="163">
        <v>1.3403873603281453</v>
      </c>
      <c r="AG84" s="163">
        <v>1.3341433287248607</v>
      </c>
      <c r="AH84" s="163">
        <v>1.3325737281199985</v>
      </c>
      <c r="AI84" s="163">
        <v>1.2973379130816483</v>
      </c>
      <c r="AJ84" s="163">
        <v>1.1682926837906533</v>
      </c>
      <c r="AK84" s="163">
        <v>1.2154448607933623</v>
      </c>
      <c r="AL84" s="163">
        <v>1.2339019890738967</v>
      </c>
      <c r="AM84" s="163">
        <v>1.1859821971768383</v>
      </c>
      <c r="AN84" s="163">
        <v>1.1767020768123237</v>
      </c>
      <c r="AO84" s="163">
        <v>1.1515976326855046</v>
      </c>
    </row>
    <row r="85" spans="1:48" s="164" customFormat="1" x14ac:dyDescent="0.2">
      <c r="A85" s="248" t="s">
        <v>82</v>
      </c>
      <c r="B85" s="249" t="s">
        <v>56</v>
      </c>
      <c r="C85" s="623" t="s">
        <v>56</v>
      </c>
      <c r="D85" s="162" t="s">
        <v>150</v>
      </c>
      <c r="E85" s="404" t="s">
        <v>353</v>
      </c>
      <c r="F85" s="162"/>
      <c r="G85" s="175" t="s">
        <v>312</v>
      </c>
      <c r="H85" s="341">
        <v>0.54405361839405342</v>
      </c>
      <c r="I85" s="341">
        <v>0.55164538491263015</v>
      </c>
      <c r="J85" s="341">
        <v>0.55337713411639922</v>
      </c>
      <c r="K85" s="341">
        <v>0.56467209842368038</v>
      </c>
      <c r="L85" s="341">
        <v>0.56436663735609771</v>
      </c>
      <c r="M85" s="341">
        <v>0.55857189411941011</v>
      </c>
      <c r="N85" s="341">
        <v>0.58208371413717286</v>
      </c>
      <c r="O85" s="341">
        <v>0.58356270285037304</v>
      </c>
      <c r="P85" s="341">
        <v>0.587270192079971</v>
      </c>
      <c r="Q85" s="341">
        <v>0.5874205288388975</v>
      </c>
      <c r="R85" s="341">
        <v>0.56961988046198031</v>
      </c>
      <c r="S85" s="341">
        <v>0.58046994709453481</v>
      </c>
      <c r="T85" s="341">
        <v>0.56654372359809657</v>
      </c>
      <c r="U85" s="341">
        <v>0.58077023577994868</v>
      </c>
      <c r="V85" s="341">
        <v>0.57724970384634289</v>
      </c>
      <c r="W85" s="341">
        <v>0.60036836104488689</v>
      </c>
      <c r="X85" s="341">
        <v>0.59647873507664628</v>
      </c>
      <c r="Y85" s="341">
        <v>0.6010803393566676</v>
      </c>
      <c r="Z85" s="341">
        <v>0.60213412196405758</v>
      </c>
      <c r="AA85" s="341">
        <v>0.59532623454189781</v>
      </c>
      <c r="AB85" s="341">
        <v>0.58934798601699623</v>
      </c>
      <c r="AC85" s="341">
        <v>0.60491028996955643</v>
      </c>
      <c r="AD85" s="341">
        <v>0.59822889905715293</v>
      </c>
      <c r="AE85" s="341">
        <v>0.57982899236606977</v>
      </c>
      <c r="AF85" s="341">
        <v>0.60298865083004249</v>
      </c>
      <c r="AG85" s="341">
        <v>0.60017970148924693</v>
      </c>
      <c r="AH85" s="341">
        <v>0.5994735986274321</v>
      </c>
      <c r="AI85" s="341">
        <v>0.58362236248501553</v>
      </c>
      <c r="AJ85" s="341">
        <v>0.52556988376932467</v>
      </c>
      <c r="AK85" s="341">
        <v>0.54678183222249632</v>
      </c>
      <c r="AL85" s="341">
        <v>0.55508498339317836</v>
      </c>
      <c r="AM85" s="341">
        <v>0.53352771456233117</v>
      </c>
      <c r="AN85" s="341">
        <v>0.52935294581729531</v>
      </c>
      <c r="AO85" s="341">
        <v>0.51805942325665066</v>
      </c>
    </row>
    <row r="86" spans="1:48" s="24" customFormat="1" x14ac:dyDescent="0.25">
      <c r="A86" s="252" t="s">
        <v>83</v>
      </c>
      <c r="B86" s="251" t="s">
        <v>83</v>
      </c>
      <c r="C86" s="623" t="s">
        <v>56</v>
      </c>
      <c r="D86" s="109" t="s">
        <v>304</v>
      </c>
      <c r="E86" s="109" t="s">
        <v>305</v>
      </c>
      <c r="F86" s="109"/>
      <c r="G86" s="175" t="s">
        <v>312</v>
      </c>
      <c r="H86" s="22">
        <v>134.19787284403341</v>
      </c>
      <c r="I86" s="22">
        <v>142.24765589323692</v>
      </c>
      <c r="J86" s="22">
        <v>147.9450059469213</v>
      </c>
      <c r="K86" s="22">
        <v>151.00858456539441</v>
      </c>
      <c r="L86" s="22">
        <v>156.2552222908181</v>
      </c>
      <c r="M86" s="22">
        <v>159.25504648432016</v>
      </c>
      <c r="N86" s="22">
        <v>162.8791521132305</v>
      </c>
      <c r="O86" s="22">
        <v>164.98582353406238</v>
      </c>
      <c r="P86" s="22">
        <v>169.67591337484245</v>
      </c>
      <c r="Q86" s="22">
        <v>170.57029762947883</v>
      </c>
      <c r="R86" s="22">
        <v>172.26728809492371</v>
      </c>
      <c r="S86" s="22">
        <v>172.53855839856561</v>
      </c>
      <c r="T86" s="22">
        <v>174.91637811624048</v>
      </c>
      <c r="U86" s="22">
        <v>177.42971260989543</v>
      </c>
      <c r="V86" s="22">
        <v>183.10507027008913</v>
      </c>
      <c r="W86" s="22">
        <v>185.87870361382843</v>
      </c>
      <c r="X86" s="22">
        <v>185.98211937968017</v>
      </c>
      <c r="Y86" s="22">
        <v>186.43900648531312</v>
      </c>
      <c r="Z86" s="22">
        <v>186.81273912170525</v>
      </c>
      <c r="AA86" s="22">
        <v>187.31960839617244</v>
      </c>
      <c r="AB86" s="22">
        <v>187.84693233973312</v>
      </c>
      <c r="AC86" s="22">
        <v>188.3754870289869</v>
      </c>
      <c r="AD86" s="22">
        <v>188.91629699732283</v>
      </c>
      <c r="AE86" s="22">
        <v>189.85515042822968</v>
      </c>
      <c r="AF86" s="22">
        <v>190.41036297626167</v>
      </c>
      <c r="AG86" s="22">
        <v>191.03807097339171</v>
      </c>
      <c r="AH86" s="22">
        <v>191.60511177306617</v>
      </c>
      <c r="AI86" s="22">
        <v>192.41525816455058</v>
      </c>
      <c r="AJ86" s="22">
        <v>193.44249885516874</v>
      </c>
      <c r="AK86" s="22">
        <v>194.48622896562151</v>
      </c>
      <c r="AL86" s="22">
        <v>195.66512027785609</v>
      </c>
      <c r="AM86" s="22">
        <v>196.60853989625346</v>
      </c>
      <c r="AN86" s="22">
        <v>197.76096583175035</v>
      </c>
      <c r="AO86" s="22">
        <v>198.71402688906983</v>
      </c>
      <c r="AP86" s="613"/>
      <c r="AQ86" s="615"/>
      <c r="AR86" s="613"/>
      <c r="AS86" s="615"/>
      <c r="AT86" s="613"/>
      <c r="AU86" s="615"/>
    </row>
    <row r="87" spans="1:48" s="24" customFormat="1" x14ac:dyDescent="0.25">
      <c r="A87" s="252" t="s">
        <v>52</v>
      </c>
      <c r="B87" s="251" t="s">
        <v>128</v>
      </c>
      <c r="C87" s="623" t="s">
        <v>56</v>
      </c>
      <c r="D87" s="109" t="s">
        <v>25</v>
      </c>
      <c r="E87" s="109" t="s">
        <v>245</v>
      </c>
      <c r="F87" s="109"/>
      <c r="G87" s="175" t="s">
        <v>312</v>
      </c>
      <c r="H87" s="22">
        <v>22.507321357319938</v>
      </c>
      <c r="I87" s="22">
        <v>20.811379354489304</v>
      </c>
      <c r="J87" s="22">
        <v>18.619841478641661</v>
      </c>
      <c r="K87" s="22">
        <v>19.126843974436838</v>
      </c>
      <c r="L87" s="22">
        <v>19.115649795442778</v>
      </c>
      <c r="M87" s="22">
        <v>18.955966351885877</v>
      </c>
      <c r="N87" s="22">
        <v>19.145580586297683</v>
      </c>
      <c r="O87" s="22">
        <v>18.988401211910968</v>
      </c>
      <c r="P87" s="22">
        <v>20.286804077177294</v>
      </c>
      <c r="Q87" s="22">
        <v>19.930488309902103</v>
      </c>
      <c r="R87" s="22">
        <v>20.611752568960355</v>
      </c>
      <c r="S87" s="22">
        <v>22.841794053156491</v>
      </c>
      <c r="T87" s="22">
        <v>21.929112030407282</v>
      </c>
      <c r="U87" s="22">
        <v>21.298469635121364</v>
      </c>
      <c r="V87" s="22">
        <v>21.19130307410353</v>
      </c>
      <c r="W87" s="22">
        <v>22.06797574294535</v>
      </c>
      <c r="X87" s="22">
        <v>24.703172453739171</v>
      </c>
      <c r="Y87" s="22">
        <v>25.407315897880949</v>
      </c>
      <c r="Z87" s="22">
        <v>24.986582129352428</v>
      </c>
      <c r="AA87" s="22">
        <v>24.052782457884859</v>
      </c>
      <c r="AB87" s="22">
        <v>21.67230203240149</v>
      </c>
      <c r="AC87" s="22">
        <v>23.238234075484797</v>
      </c>
      <c r="AD87" s="22">
        <v>20.102513466379719</v>
      </c>
      <c r="AE87" s="22">
        <v>19.637396795827499</v>
      </c>
      <c r="AF87" s="22">
        <v>21.76548981805206</v>
      </c>
      <c r="AG87" s="22">
        <v>22.969513186796689</v>
      </c>
      <c r="AH87" s="22">
        <v>23.148437716750323</v>
      </c>
      <c r="AI87" s="22">
        <v>23.20878250152964</v>
      </c>
      <c r="AJ87" s="22">
        <v>21.865823254654515</v>
      </c>
      <c r="AK87" s="22">
        <v>21.050508365713313</v>
      </c>
      <c r="AL87" s="22">
        <v>20.861889918268275</v>
      </c>
      <c r="AM87" s="22">
        <v>20.532145046167216</v>
      </c>
      <c r="AN87" s="22">
        <v>20.470282852999389</v>
      </c>
      <c r="AO87" s="22">
        <v>19.713577378939362</v>
      </c>
      <c r="AP87" s="613"/>
      <c r="AQ87" s="615"/>
      <c r="AR87" s="613"/>
      <c r="AS87" s="615"/>
      <c r="AT87" s="613"/>
      <c r="AU87" s="615"/>
    </row>
    <row r="88" spans="1:48" s="25" customFormat="1" x14ac:dyDescent="0.25">
      <c r="A88" s="252"/>
      <c r="B88" s="251" t="s">
        <v>52</v>
      </c>
      <c r="C88" s="623" t="s">
        <v>56</v>
      </c>
      <c r="D88" s="111" t="s">
        <v>171</v>
      </c>
      <c r="E88" s="110"/>
      <c r="F88" s="110"/>
      <c r="G88" s="333" t="s">
        <v>313</v>
      </c>
      <c r="H88" s="23">
        <f t="shared" ref="H88:AO88" si="13">SUM(H73,H74,H78,H82,H86,H87)</f>
        <v>757.26583613456091</v>
      </c>
      <c r="I88" s="23">
        <f t="shared" si="13"/>
        <v>745.56651811389327</v>
      </c>
      <c r="J88" s="23">
        <f t="shared" si="13"/>
        <v>732.29699880886517</v>
      </c>
      <c r="K88" s="23">
        <f t="shared" si="13"/>
        <v>735.23896768959082</v>
      </c>
      <c r="L88" s="23">
        <f t="shared" si="13"/>
        <v>743.303989988897</v>
      </c>
      <c r="M88" s="23">
        <f t="shared" si="13"/>
        <v>725.73787812875787</v>
      </c>
      <c r="N88" s="23">
        <f t="shared" si="13"/>
        <v>740.35312512021119</v>
      </c>
      <c r="O88" s="23">
        <f t="shared" si="13"/>
        <v>733.74792508347105</v>
      </c>
      <c r="P88" s="23">
        <f t="shared" si="13"/>
        <v>749.92218769675549</v>
      </c>
      <c r="Q88" s="23">
        <f t="shared" si="13"/>
        <v>748.19315916597407</v>
      </c>
      <c r="R88" s="23">
        <f t="shared" si="13"/>
        <v>732.62182097151128</v>
      </c>
      <c r="S88" s="23">
        <f t="shared" si="13"/>
        <v>734.08199715724618</v>
      </c>
      <c r="T88" s="23">
        <f t="shared" si="13"/>
        <v>718.27318132763492</v>
      </c>
      <c r="U88" s="23">
        <f t="shared" si="13"/>
        <v>711.41008920103468</v>
      </c>
      <c r="V88" s="23">
        <f t="shared" si="13"/>
        <v>707.78325762783004</v>
      </c>
      <c r="W88" s="23">
        <f t="shared" si="13"/>
        <v>711.13298689212684</v>
      </c>
      <c r="X88" s="23">
        <f t="shared" si="13"/>
        <v>738.21505271701574</v>
      </c>
      <c r="Y88" s="23">
        <f t="shared" si="13"/>
        <v>755.14040435119284</v>
      </c>
      <c r="Z88" s="23">
        <f t="shared" si="13"/>
        <v>770.84614180723759</v>
      </c>
      <c r="AA88" s="23">
        <f t="shared" si="13"/>
        <v>759.82612374837686</v>
      </c>
      <c r="AB88" s="23">
        <f t="shared" si="13"/>
        <v>748.93405050816432</v>
      </c>
      <c r="AC88" s="23">
        <f t="shared" si="13"/>
        <v>746.42173972245234</v>
      </c>
      <c r="AD88" s="23">
        <f t="shared" si="13"/>
        <v>739.03083173156972</v>
      </c>
      <c r="AE88" s="23">
        <f t="shared" si="13"/>
        <v>730.37249673113286</v>
      </c>
      <c r="AF88" s="23">
        <f t="shared" si="13"/>
        <v>771.36872666527131</v>
      </c>
      <c r="AG88" s="23">
        <f t="shared" si="13"/>
        <v>762.36590004780226</v>
      </c>
      <c r="AH88" s="23">
        <f t="shared" si="13"/>
        <v>761.43509414604023</v>
      </c>
      <c r="AI88" s="23">
        <f t="shared" si="13"/>
        <v>763.8944545373156</v>
      </c>
      <c r="AJ88" s="23">
        <f t="shared" si="13"/>
        <v>742.59364936108125</v>
      </c>
      <c r="AK88" s="23">
        <f t="shared" si="13"/>
        <v>726.79672276905148</v>
      </c>
      <c r="AL88" s="23">
        <f t="shared" si="13"/>
        <v>724.45092605517732</v>
      </c>
      <c r="AM88" s="23">
        <f t="shared" si="13"/>
        <v>727.6080579756449</v>
      </c>
      <c r="AN88" s="23">
        <f t="shared" si="13"/>
        <v>713.28202290709578</v>
      </c>
      <c r="AO88" s="23">
        <f t="shared" si="13"/>
        <v>693.89491902799296</v>
      </c>
      <c r="AP88" s="613"/>
      <c r="AQ88" s="615"/>
      <c r="AR88" s="613"/>
      <c r="AS88" s="615"/>
      <c r="AT88" s="613"/>
      <c r="AU88" s="615"/>
    </row>
    <row r="89" spans="1:48" s="149" customFormat="1" x14ac:dyDescent="0.25">
      <c r="A89" s="251"/>
      <c r="B89" s="255"/>
      <c r="C89" s="255"/>
      <c r="D89" s="600"/>
      <c r="E89" s="159"/>
      <c r="F89" s="159"/>
      <c r="G89" s="599"/>
      <c r="H89" s="648"/>
      <c r="I89" s="648"/>
      <c r="J89" s="648"/>
      <c r="K89" s="648"/>
      <c r="L89" s="648"/>
      <c r="M89" s="648"/>
      <c r="N89" s="648"/>
      <c r="O89" s="648"/>
      <c r="P89" s="648"/>
      <c r="Q89" s="648"/>
      <c r="R89" s="648"/>
      <c r="S89" s="648"/>
      <c r="T89" s="648"/>
      <c r="U89" s="648"/>
      <c r="V89" s="648"/>
      <c r="W89" s="648"/>
      <c r="X89" s="648"/>
      <c r="Y89" s="648"/>
      <c r="Z89" s="648"/>
      <c r="AA89" s="648"/>
      <c r="AB89" s="648"/>
      <c r="AC89" s="648"/>
      <c r="AD89" s="648"/>
      <c r="AE89" s="648"/>
      <c r="AF89" s="648"/>
      <c r="AG89" s="648"/>
      <c r="AH89" s="648"/>
      <c r="AI89" s="648"/>
      <c r="AJ89" s="648"/>
      <c r="AK89" s="648"/>
      <c r="AL89" s="648"/>
      <c r="AM89" s="648"/>
      <c r="AN89" s="648"/>
      <c r="AO89" s="648"/>
      <c r="AP89" s="165"/>
      <c r="AQ89" s="166"/>
    </row>
    <row r="90" spans="1:48" s="308" customFormat="1" ht="37.5" customHeight="1" x14ac:dyDescent="0.25">
      <c r="A90" s="260"/>
      <c r="B90" s="255" t="s">
        <v>56</v>
      </c>
      <c r="C90" s="303"/>
      <c r="D90" s="303" t="s">
        <v>255</v>
      </c>
      <c r="E90" s="303"/>
      <c r="F90" s="303"/>
      <c r="G90" s="304"/>
      <c r="H90" s="305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</row>
    <row r="91" spans="1:48" s="308" customFormat="1" ht="22.5" customHeight="1" x14ac:dyDescent="0.25">
      <c r="A91" s="260"/>
      <c r="B91" s="255"/>
      <c r="C91" s="303"/>
      <c r="D91" s="303"/>
      <c r="E91" s="303"/>
      <c r="F91" s="303"/>
      <c r="G91" s="304"/>
      <c r="H91" s="480">
        <v>1990</v>
      </c>
      <c r="I91" s="481">
        <v>1991</v>
      </c>
      <c r="J91" s="481">
        <v>1992</v>
      </c>
      <c r="K91" s="481">
        <v>1993</v>
      </c>
      <c r="L91" s="481">
        <v>1994</v>
      </c>
      <c r="M91" s="481">
        <v>1995</v>
      </c>
      <c r="N91" s="481">
        <v>1996</v>
      </c>
      <c r="O91" s="481">
        <v>1997</v>
      </c>
      <c r="P91" s="481">
        <v>1998</v>
      </c>
      <c r="Q91" s="481">
        <v>1999</v>
      </c>
      <c r="R91" s="481">
        <v>2000</v>
      </c>
      <c r="S91" s="481">
        <v>2001</v>
      </c>
      <c r="T91" s="481">
        <v>2002</v>
      </c>
      <c r="U91" s="481">
        <v>2003</v>
      </c>
      <c r="V91" s="481">
        <v>2004</v>
      </c>
      <c r="W91" s="481">
        <v>2005</v>
      </c>
      <c r="X91" s="481">
        <v>2006</v>
      </c>
      <c r="Y91" s="481">
        <v>2007</v>
      </c>
      <c r="Z91" s="481">
        <v>2008</v>
      </c>
      <c r="AA91" s="481">
        <v>2009</v>
      </c>
      <c r="AB91" s="481">
        <v>2010</v>
      </c>
      <c r="AC91" s="481">
        <v>2011</v>
      </c>
      <c r="AD91" s="481">
        <v>2012</v>
      </c>
      <c r="AE91" s="481">
        <v>2013</v>
      </c>
      <c r="AF91" s="481">
        <v>2014</v>
      </c>
      <c r="AG91" s="481">
        <v>2015</v>
      </c>
      <c r="AH91" s="481">
        <v>2016</v>
      </c>
      <c r="AI91" s="481">
        <v>2017</v>
      </c>
      <c r="AJ91" s="481">
        <v>2018</v>
      </c>
      <c r="AK91" s="481">
        <v>2019</v>
      </c>
      <c r="AL91" s="481">
        <v>2020</v>
      </c>
      <c r="AM91" s="481">
        <v>2021</v>
      </c>
      <c r="AN91" s="481">
        <v>2022</v>
      </c>
      <c r="AO91" s="481">
        <v>2023</v>
      </c>
      <c r="AP91" s="481"/>
      <c r="AQ91" s="481"/>
      <c r="AR91" s="481"/>
      <c r="AS91" s="481"/>
      <c r="AT91" s="481"/>
      <c r="AU91" s="481"/>
      <c r="AV91" s="481"/>
    </row>
    <row r="92" spans="1:48" s="16" customFormat="1" ht="30.6" customHeight="1" x14ac:dyDescent="0.25">
      <c r="A92" s="637"/>
      <c r="B92" s="218" t="s">
        <v>56</v>
      </c>
      <c r="C92" s="625"/>
      <c r="D92" s="625" t="str">
        <f>$D$3</f>
        <v>Söguleg losun | Historical Emissions</v>
      </c>
      <c r="E92" s="625"/>
      <c r="F92" s="625"/>
      <c r="G92" s="625"/>
    </row>
    <row r="93" spans="1:48" s="191" customFormat="1" ht="16.350000000000001" customHeight="1" x14ac:dyDescent="0.2">
      <c r="A93" s="637" t="s">
        <v>88</v>
      </c>
      <c r="B93" s="218"/>
      <c r="C93" s="628"/>
      <c r="D93" s="176" t="s">
        <v>116</v>
      </c>
      <c r="E93" s="109" t="s">
        <v>269</v>
      </c>
      <c r="F93" s="176"/>
      <c r="G93" s="175" t="s">
        <v>312</v>
      </c>
      <c r="H93" s="22">
        <v>-29.577321725207604</v>
      </c>
      <c r="I93" s="22">
        <v>-30.929192024518439</v>
      </c>
      <c r="J93" s="22">
        <v>-35.680017072928891</v>
      </c>
      <c r="K93" s="22">
        <v>-40.781480366077105</v>
      </c>
      <c r="L93" s="22">
        <v>-43.817763534130805</v>
      </c>
      <c r="M93" s="22">
        <v>-53.442691433681347</v>
      </c>
      <c r="N93" s="22">
        <v>-57.596627797205201</v>
      </c>
      <c r="O93" s="22">
        <v>-64.740126856367311</v>
      </c>
      <c r="P93" s="22">
        <v>-72.917966972189291</v>
      </c>
      <c r="Q93" s="22">
        <v>-79.075134075518164</v>
      </c>
      <c r="R93" s="22">
        <v>-89.938433326247463</v>
      </c>
      <c r="S93" s="22">
        <v>-95.450778710702849</v>
      </c>
      <c r="T93" s="22">
        <v>-104.15380769012003</v>
      </c>
      <c r="U93" s="22">
        <v>-114.69723099293303</v>
      </c>
      <c r="V93" s="22">
        <v>-121.00811885495146</v>
      </c>
      <c r="W93" s="22">
        <v>-140.28204095274921</v>
      </c>
      <c r="X93" s="22">
        <v>-146.81774655664805</v>
      </c>
      <c r="Y93" s="22">
        <v>-264.47854572721633</v>
      </c>
      <c r="Z93" s="22">
        <v>-268.08746225872557</v>
      </c>
      <c r="AA93" s="22">
        <v>-280.87754917577922</v>
      </c>
      <c r="AB93" s="22">
        <v>-303.68840042964337</v>
      </c>
      <c r="AC93" s="22">
        <v>-330.84581677793614</v>
      </c>
      <c r="AD93" s="22">
        <v>-342.21432682575522</v>
      </c>
      <c r="AE93" s="22">
        <v>-359.91628608211477</v>
      </c>
      <c r="AF93" s="22">
        <v>-383.52589373647049</v>
      </c>
      <c r="AG93" s="22">
        <v>-408.54263384940219</v>
      </c>
      <c r="AH93" s="22">
        <v>-432.62683889768022</v>
      </c>
      <c r="AI93" s="22">
        <v>-470.56708519521641</v>
      </c>
      <c r="AJ93" s="22">
        <v>-500.12980413754889</v>
      </c>
      <c r="AK93" s="22">
        <v>-501.28650208770966</v>
      </c>
      <c r="AL93" s="22">
        <v>-504.69423725886224</v>
      </c>
      <c r="AM93" s="22">
        <v>-505.29940535846055</v>
      </c>
      <c r="AN93" s="22">
        <v>-533.97896730846287</v>
      </c>
      <c r="AO93" s="22">
        <v>-553.69612674802886</v>
      </c>
      <c r="AP93" s="613"/>
      <c r="AQ93" s="615"/>
      <c r="AR93" s="613"/>
      <c r="AS93" s="615"/>
      <c r="AT93" s="613"/>
      <c r="AU93" s="615"/>
    </row>
    <row r="94" spans="1:48" s="191" customFormat="1" ht="16.350000000000001" customHeight="1" x14ac:dyDescent="0.2">
      <c r="A94" s="637" t="s">
        <v>89</v>
      </c>
      <c r="B94" s="218"/>
      <c r="C94" s="628"/>
      <c r="D94" s="176" t="s">
        <v>153</v>
      </c>
      <c r="E94" s="109" t="s">
        <v>187</v>
      </c>
      <c r="F94" s="176"/>
      <c r="G94" s="175" t="s">
        <v>312</v>
      </c>
      <c r="H94" s="176">
        <v>1537.8155540222751</v>
      </c>
      <c r="I94" s="176">
        <v>1539.9013904980425</v>
      </c>
      <c r="J94" s="176">
        <v>1541.7653396941241</v>
      </c>
      <c r="K94" s="176">
        <v>1543.7434532472596</v>
      </c>
      <c r="L94" s="176">
        <v>1545.7509778448896</v>
      </c>
      <c r="M94" s="176">
        <v>1547.8036063077591</v>
      </c>
      <c r="N94" s="176">
        <v>1549.9913123629633</v>
      </c>
      <c r="O94" s="176">
        <v>1551.9332216938897</v>
      </c>
      <c r="P94" s="176">
        <v>1554.26363778215</v>
      </c>
      <c r="Q94" s="176">
        <v>1556.2901466347514</v>
      </c>
      <c r="R94" s="176">
        <v>1558.8463217028466</v>
      </c>
      <c r="S94" s="176">
        <v>1561.1290278940126</v>
      </c>
      <c r="T94" s="176">
        <v>1563.6629142704835</v>
      </c>
      <c r="U94" s="176">
        <v>1566.1086415687498</v>
      </c>
      <c r="V94" s="176">
        <v>1568.9106521513888</v>
      </c>
      <c r="W94" s="176">
        <v>1571.4453677919994</v>
      </c>
      <c r="X94" s="176">
        <v>1574.2595245919506</v>
      </c>
      <c r="Y94" s="176">
        <v>1577.1669283586184</v>
      </c>
      <c r="Z94" s="176">
        <v>1580.1988035712636</v>
      </c>
      <c r="AA94" s="176">
        <v>1658.828973966057</v>
      </c>
      <c r="AB94" s="176">
        <v>1678.66639592365</v>
      </c>
      <c r="AC94" s="176">
        <v>1698.4919484533557</v>
      </c>
      <c r="AD94" s="176">
        <v>1718.3058299023298</v>
      </c>
      <c r="AE94" s="176">
        <v>1738.1082336870991</v>
      </c>
      <c r="AF94" s="176">
        <v>1757.8993484556815</v>
      </c>
      <c r="AG94" s="176">
        <v>1777.5720475426147</v>
      </c>
      <c r="AH94" s="176">
        <v>1797.4499285215136</v>
      </c>
      <c r="AI94" s="176">
        <v>1817.2097357570892</v>
      </c>
      <c r="AJ94" s="176">
        <v>1836.9574800252271</v>
      </c>
      <c r="AK94" s="176">
        <v>1856.6955454869258</v>
      </c>
      <c r="AL94" s="176">
        <v>1876.4685106677164</v>
      </c>
      <c r="AM94" s="176">
        <v>1896.1410718627703</v>
      </c>
      <c r="AN94" s="176">
        <v>1915.8488478457277</v>
      </c>
      <c r="AO94" s="176">
        <v>1935.5468363725449</v>
      </c>
      <c r="AP94" s="613"/>
      <c r="AQ94" s="615"/>
      <c r="AR94" s="613"/>
      <c r="AS94" s="615"/>
      <c r="AT94" s="613"/>
      <c r="AU94" s="615"/>
    </row>
    <row r="95" spans="1:48" s="191" customFormat="1" ht="16.350000000000001" customHeight="1" x14ac:dyDescent="0.2">
      <c r="A95" s="637" t="s">
        <v>90</v>
      </c>
      <c r="B95" s="218"/>
      <c r="C95" s="628"/>
      <c r="D95" s="176" t="s">
        <v>30</v>
      </c>
      <c r="E95" s="109" t="s">
        <v>188</v>
      </c>
      <c r="F95" s="176"/>
      <c r="G95" s="175" t="s">
        <v>312</v>
      </c>
      <c r="H95" s="176">
        <v>5802.2131992365648</v>
      </c>
      <c r="I95" s="176">
        <v>5791.7321365141961</v>
      </c>
      <c r="J95" s="176">
        <v>5778.5480130063124</v>
      </c>
      <c r="K95" s="176">
        <v>5788.6440756979518</v>
      </c>
      <c r="L95" s="176">
        <v>5778.7092028786083</v>
      </c>
      <c r="M95" s="176">
        <v>5766.6328037922476</v>
      </c>
      <c r="N95" s="176">
        <v>5755.9286137414829</v>
      </c>
      <c r="O95" s="176">
        <v>5753.9514021587656</v>
      </c>
      <c r="P95" s="176">
        <v>5755.8088097399905</v>
      </c>
      <c r="Q95" s="176">
        <v>5764.5884434035315</v>
      </c>
      <c r="R95" s="176">
        <v>5781.2698109035182</v>
      </c>
      <c r="S95" s="176">
        <v>5790.8740138178346</v>
      </c>
      <c r="T95" s="176">
        <v>5809.5887954846521</v>
      </c>
      <c r="U95" s="176">
        <v>5809.1781681506036</v>
      </c>
      <c r="V95" s="176">
        <v>5810.7435462046469</v>
      </c>
      <c r="W95" s="176">
        <v>5825.8081099504898</v>
      </c>
      <c r="X95" s="176">
        <v>5877.1648369491149</v>
      </c>
      <c r="Y95" s="176">
        <v>5896.3566794985682</v>
      </c>
      <c r="Z95" s="176">
        <v>5938.3816373860582</v>
      </c>
      <c r="AA95" s="176">
        <v>5937.8911371259546</v>
      </c>
      <c r="AB95" s="176">
        <v>5933.8823691363159</v>
      </c>
      <c r="AC95" s="176">
        <v>5929.7636695499195</v>
      </c>
      <c r="AD95" s="176">
        <v>5930.0471828209884</v>
      </c>
      <c r="AE95" s="176">
        <v>5932.8278027380784</v>
      </c>
      <c r="AF95" s="176">
        <v>5934.0786620233857</v>
      </c>
      <c r="AG95" s="176">
        <v>5934.6092088359646</v>
      </c>
      <c r="AH95" s="176">
        <v>5927.0363320723864</v>
      </c>
      <c r="AI95" s="176">
        <v>5922.0765948472736</v>
      </c>
      <c r="AJ95" s="176">
        <v>5924.0714656107548</v>
      </c>
      <c r="AK95" s="176">
        <v>5923.062466284211</v>
      </c>
      <c r="AL95" s="176">
        <v>5919.1495275848802</v>
      </c>
      <c r="AM95" s="176">
        <v>5908.9786381600179</v>
      </c>
      <c r="AN95" s="176">
        <v>5906.8369407015125</v>
      </c>
      <c r="AO95" s="176">
        <v>5915.6518862431958</v>
      </c>
      <c r="AP95" s="613"/>
      <c r="AQ95" s="615"/>
      <c r="AR95" s="613"/>
      <c r="AS95" s="615"/>
      <c r="AT95" s="613"/>
      <c r="AU95" s="615"/>
    </row>
    <row r="96" spans="1:48" s="191" customFormat="1" ht="16.350000000000001" customHeight="1" x14ac:dyDescent="0.2">
      <c r="A96" s="637" t="s">
        <v>91</v>
      </c>
      <c r="B96" s="218"/>
      <c r="C96" s="628"/>
      <c r="D96" s="176" t="s">
        <v>31</v>
      </c>
      <c r="E96" s="109" t="s">
        <v>189</v>
      </c>
      <c r="F96" s="176"/>
      <c r="G96" s="175" t="s">
        <v>312</v>
      </c>
      <c r="H96" s="176">
        <v>808.10168987764712</v>
      </c>
      <c r="I96" s="176">
        <v>819.57574375705769</v>
      </c>
      <c r="J96" s="176">
        <v>819.03452937952625</v>
      </c>
      <c r="K96" s="176">
        <v>816.16235200243023</v>
      </c>
      <c r="L96" s="176">
        <v>815.72116221514125</v>
      </c>
      <c r="M96" s="176">
        <v>814.81355898768902</v>
      </c>
      <c r="N96" s="176">
        <v>817.74130864502308</v>
      </c>
      <c r="O96" s="176">
        <v>815.70079892413492</v>
      </c>
      <c r="P96" s="176">
        <v>812.54268571351372</v>
      </c>
      <c r="Q96" s="176">
        <v>808.57407692913171</v>
      </c>
      <c r="R96" s="176">
        <v>802.88380773793688</v>
      </c>
      <c r="S96" s="176">
        <v>799.63915756691699</v>
      </c>
      <c r="T96" s="176">
        <v>794.56735370906983</v>
      </c>
      <c r="U96" s="176">
        <v>791.79656007477593</v>
      </c>
      <c r="V96" s="176">
        <v>788.70056987046587</v>
      </c>
      <c r="W96" s="176">
        <v>783.72410252752411</v>
      </c>
      <c r="X96" s="176">
        <v>776.9517998380677</v>
      </c>
      <c r="Y96" s="176">
        <v>766.73221880975109</v>
      </c>
      <c r="Z96" s="176">
        <v>758.52420669962976</v>
      </c>
      <c r="AA96" s="176">
        <v>755.26785848116958</v>
      </c>
      <c r="AB96" s="176">
        <v>751.64964809838466</v>
      </c>
      <c r="AC96" s="176">
        <v>742.43060454743045</v>
      </c>
      <c r="AD96" s="176">
        <v>738.72076540891328</v>
      </c>
      <c r="AE96" s="176">
        <v>735.05413361372712</v>
      </c>
      <c r="AF96" s="176">
        <v>731.57276454402029</v>
      </c>
      <c r="AG96" s="176">
        <v>727.9762376366366</v>
      </c>
      <c r="AH96" s="176">
        <v>722.77572079386709</v>
      </c>
      <c r="AI96" s="176">
        <v>719.16023291066654</v>
      </c>
      <c r="AJ96" s="176">
        <v>715.34751279198474</v>
      </c>
      <c r="AK96" s="176">
        <v>712.08566878680199</v>
      </c>
      <c r="AL96" s="176">
        <v>709.37970774921496</v>
      </c>
      <c r="AM96" s="176">
        <v>706.0752248050967</v>
      </c>
      <c r="AN96" s="176">
        <v>702.67569267657655</v>
      </c>
      <c r="AO96" s="176">
        <v>698.9675492047254</v>
      </c>
      <c r="AP96" s="613"/>
      <c r="AQ96" s="615"/>
      <c r="AR96" s="613"/>
      <c r="AS96" s="615"/>
      <c r="AT96" s="613"/>
      <c r="AU96" s="615"/>
    </row>
    <row r="97" spans="1:73" s="191" customFormat="1" ht="16.350000000000001" customHeight="1" x14ac:dyDescent="0.2">
      <c r="A97" s="637" t="s">
        <v>117</v>
      </c>
      <c r="B97" s="218"/>
      <c r="C97" s="628"/>
      <c r="D97" s="176" t="s">
        <v>25</v>
      </c>
      <c r="E97" s="109" t="s">
        <v>245</v>
      </c>
      <c r="F97" s="176"/>
      <c r="G97" s="175" t="s">
        <v>312</v>
      </c>
      <c r="H97" s="176">
        <f>H$98-SUM(H$93:H$96)</f>
        <v>26.226730684378708</v>
      </c>
      <c r="I97" s="176">
        <f t="shared" ref="I97:AO97" si="14">I$98-SUM(I$93:I$96)</f>
        <v>28.450793921373588</v>
      </c>
      <c r="J97" s="176">
        <f t="shared" si="14"/>
        <v>30.674884667807419</v>
      </c>
      <c r="K97" s="176">
        <f t="shared" si="14"/>
        <v>32.898971974265805</v>
      </c>
      <c r="L97" s="176">
        <f t="shared" si="14"/>
        <v>35.123060524297216</v>
      </c>
      <c r="M97" s="176">
        <f t="shared" si="14"/>
        <v>37.347123841400389</v>
      </c>
      <c r="N97" s="176">
        <f t="shared" si="14"/>
        <v>39.571701219439092</v>
      </c>
      <c r="O97" s="176">
        <f t="shared" si="14"/>
        <v>41.787954492221616</v>
      </c>
      <c r="P97" s="176">
        <f t="shared" si="14"/>
        <v>44.022689430685205</v>
      </c>
      <c r="Q97" s="176">
        <f t="shared" si="14"/>
        <v>46.243768989878845</v>
      </c>
      <c r="R97" s="176">
        <f t="shared" si="14"/>
        <v>44.48450834661071</v>
      </c>
      <c r="S97" s="176">
        <f t="shared" si="14"/>
        <v>46.33818568040806</v>
      </c>
      <c r="T97" s="176">
        <f t="shared" si="14"/>
        <v>48.189289602982171</v>
      </c>
      <c r="U97" s="176">
        <f t="shared" si="14"/>
        <v>50.045446428492141</v>
      </c>
      <c r="V97" s="176">
        <f t="shared" si="14"/>
        <v>51.767210362196238</v>
      </c>
      <c r="W97" s="176">
        <f t="shared" si="14"/>
        <v>53.619968467329272</v>
      </c>
      <c r="X97" s="176">
        <f t="shared" si="14"/>
        <v>56.212315972244141</v>
      </c>
      <c r="Y97" s="176">
        <f t="shared" si="14"/>
        <v>57.286552350645252</v>
      </c>
      <c r="Z97" s="176">
        <f t="shared" si="14"/>
        <v>59.27333744976022</v>
      </c>
      <c r="AA97" s="176">
        <f t="shared" si="14"/>
        <v>58.88231917435769</v>
      </c>
      <c r="AB97" s="176">
        <f t="shared" si="14"/>
        <v>42.462362886234587</v>
      </c>
      <c r="AC97" s="176">
        <f t="shared" si="14"/>
        <v>40.550693512642283</v>
      </c>
      <c r="AD97" s="176">
        <f t="shared" si="14"/>
        <v>38.704472487191197</v>
      </c>
      <c r="AE97" s="176">
        <f t="shared" si="14"/>
        <v>36.845406343756622</v>
      </c>
      <c r="AF97" s="176">
        <f t="shared" si="14"/>
        <v>34.91663039451214</v>
      </c>
      <c r="AG97" s="176">
        <f t="shared" si="14"/>
        <v>33.158475465753327</v>
      </c>
      <c r="AH97" s="176">
        <f t="shared" si="14"/>
        <v>31.235592363218529</v>
      </c>
      <c r="AI97" s="176">
        <f t="shared" si="14"/>
        <v>29.309890347275541</v>
      </c>
      <c r="AJ97" s="176">
        <f t="shared" si="14"/>
        <v>27.535732836779061</v>
      </c>
      <c r="AK97" s="176">
        <f t="shared" si="14"/>
        <v>25.72160497015193</v>
      </c>
      <c r="AL97" s="176">
        <f t="shared" si="14"/>
        <v>50.47553797148521</v>
      </c>
      <c r="AM97" s="176">
        <f t="shared" si="14"/>
        <v>51.845366654707504</v>
      </c>
      <c r="AN97" s="176">
        <f t="shared" si="14"/>
        <v>52.1688112326583</v>
      </c>
      <c r="AO97" s="176">
        <f t="shared" si="14"/>
        <v>46.166936384584915</v>
      </c>
      <c r="AP97" s="613"/>
      <c r="AQ97" s="615"/>
      <c r="AR97" s="613"/>
      <c r="AS97" s="615"/>
      <c r="AT97" s="613"/>
      <c r="AU97" s="615"/>
    </row>
    <row r="98" spans="1:73" s="191" customFormat="1" ht="14.25" x14ac:dyDescent="0.2">
      <c r="A98" s="637" t="s">
        <v>53</v>
      </c>
      <c r="B98" s="218"/>
      <c r="C98" s="202"/>
      <c r="D98" s="111" t="s">
        <v>171</v>
      </c>
      <c r="E98" s="109"/>
      <c r="F98" s="198"/>
      <c r="G98" s="333" t="s">
        <v>313</v>
      </c>
      <c r="H98" s="198">
        <v>8144.7798520956585</v>
      </c>
      <c r="I98" s="198">
        <v>8148.7308726661513</v>
      </c>
      <c r="J98" s="198">
        <v>8134.3427496748418</v>
      </c>
      <c r="K98" s="198">
        <v>8140.6673725558303</v>
      </c>
      <c r="L98" s="198">
        <v>8131.4866399288048</v>
      </c>
      <c r="M98" s="198">
        <v>8113.1544014954152</v>
      </c>
      <c r="N98" s="198">
        <v>8105.6363081717036</v>
      </c>
      <c r="O98" s="198">
        <v>8098.633250412644</v>
      </c>
      <c r="P98" s="198">
        <v>8093.7198556941494</v>
      </c>
      <c r="Q98" s="198">
        <v>8096.6213018817753</v>
      </c>
      <c r="R98" s="198">
        <v>8097.5460153646645</v>
      </c>
      <c r="S98" s="198">
        <v>8102.5296062484686</v>
      </c>
      <c r="T98" s="198">
        <v>8111.8545453770676</v>
      </c>
      <c r="U98" s="198">
        <v>8102.4315852296877</v>
      </c>
      <c r="V98" s="198">
        <v>8099.1138597337467</v>
      </c>
      <c r="W98" s="198">
        <v>8094.3155077845931</v>
      </c>
      <c r="X98" s="198">
        <v>8137.7707307947294</v>
      </c>
      <c r="Y98" s="198">
        <v>8033.0638332903663</v>
      </c>
      <c r="Z98" s="198">
        <v>8068.2905228479858</v>
      </c>
      <c r="AA98" s="198">
        <v>8129.9927395717596</v>
      </c>
      <c r="AB98" s="198">
        <v>8102.9723756149424</v>
      </c>
      <c r="AC98" s="198">
        <v>8080.3910992854117</v>
      </c>
      <c r="AD98" s="198">
        <v>8083.5639237936675</v>
      </c>
      <c r="AE98" s="198">
        <v>8082.919290300546</v>
      </c>
      <c r="AF98" s="198">
        <v>8074.9415116811297</v>
      </c>
      <c r="AG98" s="198">
        <v>8064.7733356315666</v>
      </c>
      <c r="AH98" s="198">
        <v>8045.8707348533044</v>
      </c>
      <c r="AI98" s="198">
        <v>8017.1893686670883</v>
      </c>
      <c r="AJ98" s="198">
        <v>8003.7823871271967</v>
      </c>
      <c r="AK98" s="198">
        <v>8016.2787834403807</v>
      </c>
      <c r="AL98" s="198">
        <v>8050.7790467144341</v>
      </c>
      <c r="AM98" s="198">
        <v>8057.7408961241317</v>
      </c>
      <c r="AN98" s="198">
        <v>8043.5513251480124</v>
      </c>
      <c r="AO98" s="198">
        <v>8042.6370814570228</v>
      </c>
      <c r="AP98" s="613"/>
      <c r="AQ98" s="615"/>
      <c r="AR98" s="613"/>
      <c r="AS98" s="615"/>
      <c r="AT98" s="613"/>
      <c r="AU98" s="615"/>
    </row>
    <row r="99" spans="1:73" s="16" customFormat="1" x14ac:dyDescent="0.25">
      <c r="A99" s="637"/>
      <c r="B99" s="216"/>
    </row>
    <row r="100" spans="1:73" s="314" customFormat="1" ht="38.25" customHeight="1" x14ac:dyDescent="0.45">
      <c r="A100" s="260"/>
      <c r="B100" s="255" t="s">
        <v>56</v>
      </c>
      <c r="C100" s="309"/>
      <c r="D100" s="491" t="s">
        <v>190</v>
      </c>
      <c r="E100" s="309"/>
      <c r="F100" s="309"/>
      <c r="G100" s="310"/>
      <c r="H100" s="311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</row>
    <row r="101" spans="1:73" s="484" customFormat="1" ht="21.75" customHeight="1" x14ac:dyDescent="0.25">
      <c r="A101" s="632"/>
      <c r="B101" s="570"/>
      <c r="C101" s="482"/>
      <c r="D101" s="482"/>
      <c r="E101" s="482"/>
      <c r="F101" s="482"/>
      <c r="G101" s="483"/>
      <c r="H101" s="492">
        <v>1990</v>
      </c>
      <c r="I101" s="493">
        <v>1991</v>
      </c>
      <c r="J101" s="493">
        <v>1992</v>
      </c>
      <c r="K101" s="493">
        <v>1993</v>
      </c>
      <c r="L101" s="493">
        <v>1994</v>
      </c>
      <c r="M101" s="493">
        <v>1995</v>
      </c>
      <c r="N101" s="493">
        <v>1996</v>
      </c>
      <c r="O101" s="493">
        <v>1997</v>
      </c>
      <c r="P101" s="493">
        <v>1998</v>
      </c>
      <c r="Q101" s="493">
        <v>1999</v>
      </c>
      <c r="R101" s="493">
        <v>2000</v>
      </c>
      <c r="S101" s="493">
        <v>2001</v>
      </c>
      <c r="T101" s="493">
        <v>2002</v>
      </c>
      <c r="U101" s="493">
        <v>2003</v>
      </c>
      <c r="V101" s="493">
        <v>2004</v>
      </c>
      <c r="W101" s="493">
        <v>2005</v>
      </c>
      <c r="X101" s="493">
        <v>2006</v>
      </c>
      <c r="Y101" s="493">
        <v>2007</v>
      </c>
      <c r="Z101" s="493">
        <v>2008</v>
      </c>
      <c r="AA101" s="493">
        <v>2009</v>
      </c>
      <c r="AB101" s="493">
        <v>2010</v>
      </c>
      <c r="AC101" s="493">
        <v>2011</v>
      </c>
      <c r="AD101" s="493">
        <v>2012</v>
      </c>
      <c r="AE101" s="493">
        <v>2013</v>
      </c>
      <c r="AF101" s="493">
        <v>2014</v>
      </c>
      <c r="AG101" s="493">
        <v>2015</v>
      </c>
      <c r="AH101" s="493">
        <v>2016</v>
      </c>
      <c r="AI101" s="493">
        <v>2017</v>
      </c>
      <c r="AJ101" s="493">
        <v>2018</v>
      </c>
      <c r="AK101" s="493">
        <v>2019</v>
      </c>
      <c r="AL101" s="493">
        <v>2020</v>
      </c>
      <c r="AM101" s="493">
        <v>2021</v>
      </c>
      <c r="AN101" s="493">
        <v>2022</v>
      </c>
      <c r="AO101" s="493">
        <v>2023</v>
      </c>
      <c r="AP101" s="493"/>
      <c r="AQ101" s="493"/>
      <c r="AR101" s="493"/>
      <c r="AS101" s="493"/>
      <c r="AT101" s="493"/>
      <c r="AU101" s="493"/>
      <c r="AV101" s="493"/>
    </row>
    <row r="102" spans="1:73" s="16" customFormat="1" ht="24" customHeight="1" x14ac:dyDescent="0.25">
      <c r="A102" s="248"/>
      <c r="B102" s="255" t="s">
        <v>56</v>
      </c>
      <c r="C102" s="255"/>
      <c r="D102" s="624" t="str">
        <f>$D$3</f>
        <v>Söguleg losun | Historical Emissions</v>
      </c>
      <c r="E102" s="624"/>
      <c r="F102" s="624"/>
      <c r="G102" s="624"/>
      <c r="H102" s="154"/>
      <c r="I102" s="16" t="s">
        <v>56</v>
      </c>
      <c r="J102" s="155"/>
      <c r="K102" s="156"/>
      <c r="L102" s="153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</row>
    <row r="103" spans="1:73" s="24" customFormat="1" x14ac:dyDescent="0.25">
      <c r="A103" s="252" t="s">
        <v>84</v>
      </c>
      <c r="B103" s="255" t="s">
        <v>56</v>
      </c>
      <c r="C103" s="255"/>
      <c r="D103" s="109" t="s">
        <v>26</v>
      </c>
      <c r="E103" s="109" t="s">
        <v>178</v>
      </c>
      <c r="F103" s="109"/>
      <c r="G103" s="175" t="s">
        <v>312</v>
      </c>
      <c r="H103" s="22">
        <v>172.53606160573185</v>
      </c>
      <c r="I103" s="22">
        <v>177.17689459972712</v>
      </c>
      <c r="J103" s="22">
        <v>191.3340701827706</v>
      </c>
      <c r="K103" s="22">
        <v>203.1029013543118</v>
      </c>
      <c r="L103" s="22">
        <v>213.84008956675834</v>
      </c>
      <c r="M103" s="22">
        <v>224.78911059949189</v>
      </c>
      <c r="N103" s="22">
        <v>231.71990901291827</v>
      </c>
      <c r="O103" s="22">
        <v>238.37014750314779</v>
      </c>
      <c r="P103" s="22">
        <v>246.67169624115184</v>
      </c>
      <c r="Q103" s="22">
        <v>255.63545202624636</v>
      </c>
      <c r="R103" s="22">
        <v>263.47299072845624</v>
      </c>
      <c r="S103" s="22">
        <v>273.57951002849359</v>
      </c>
      <c r="T103" s="22">
        <v>277.42981142363999</v>
      </c>
      <c r="U103" s="22">
        <v>280.7237355032218</v>
      </c>
      <c r="V103" s="22">
        <v>289.36358341001977</v>
      </c>
      <c r="W103" s="22">
        <v>283.88073703295896</v>
      </c>
      <c r="X103" s="22">
        <v>308.73464539352659</v>
      </c>
      <c r="Y103" s="22">
        <v>308.02966803621149</v>
      </c>
      <c r="Z103" s="22">
        <v>293.01549216116052</v>
      </c>
      <c r="AA103" s="22">
        <v>283.75050344880202</v>
      </c>
      <c r="AB103" s="22">
        <v>280.45500605778898</v>
      </c>
      <c r="AC103" s="22">
        <v>259.9436503224897</v>
      </c>
      <c r="AD103" s="22">
        <v>237.97107935754372</v>
      </c>
      <c r="AE103" s="22">
        <v>238.18718205726799</v>
      </c>
      <c r="AF103" s="22">
        <v>236.75247745728154</v>
      </c>
      <c r="AG103" s="22">
        <v>233.69345769894986</v>
      </c>
      <c r="AH103" s="22">
        <v>230.92311140512251</v>
      </c>
      <c r="AI103" s="22">
        <v>226.76234473413896</v>
      </c>
      <c r="AJ103" s="22">
        <v>226.65217521019284</v>
      </c>
      <c r="AK103" s="22">
        <v>201.10888758887586</v>
      </c>
      <c r="AL103" s="22">
        <v>229.1106888659962</v>
      </c>
      <c r="AM103" s="22">
        <v>225.01508866447509</v>
      </c>
      <c r="AN103" s="22">
        <v>214.74507863588011</v>
      </c>
      <c r="AO103" s="22">
        <v>201.26070771553427</v>
      </c>
      <c r="AP103" s="613"/>
      <c r="AQ103" s="615"/>
      <c r="AR103" s="613"/>
      <c r="AS103" s="615"/>
      <c r="AT103" s="613"/>
      <c r="AU103" s="615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</row>
    <row r="104" spans="1:73" s="24" customFormat="1" x14ac:dyDescent="0.25">
      <c r="A104" s="252" t="s">
        <v>85</v>
      </c>
      <c r="B104" s="255" t="s">
        <v>56</v>
      </c>
      <c r="C104" s="255"/>
      <c r="D104" s="109" t="s">
        <v>27</v>
      </c>
      <c r="E104" s="109" t="s">
        <v>191</v>
      </c>
      <c r="F104" s="109"/>
      <c r="G104" s="175" t="s">
        <v>312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609">
        <v>0.35119999999999996</v>
      </c>
      <c r="N104" s="609">
        <v>0.35119999999999996</v>
      </c>
      <c r="O104" s="609">
        <v>0.35119999999999996</v>
      </c>
      <c r="P104" s="609">
        <v>0.35119999999999996</v>
      </c>
      <c r="Q104" s="609">
        <v>0.35119999999999996</v>
      </c>
      <c r="R104" s="609">
        <v>0.35119999999999996</v>
      </c>
      <c r="S104" s="609">
        <v>0.35119999999999996</v>
      </c>
      <c r="T104" s="609">
        <v>0.35119999999999996</v>
      </c>
      <c r="U104" s="609">
        <v>0.52679999999999993</v>
      </c>
      <c r="V104" s="609">
        <v>0.52679999999999993</v>
      </c>
      <c r="W104" s="609">
        <v>0.878</v>
      </c>
      <c r="X104" s="114">
        <v>1.4047999999999998</v>
      </c>
      <c r="Y104" s="114">
        <v>1.756</v>
      </c>
      <c r="Z104" s="114">
        <v>1.8625891999999999</v>
      </c>
      <c r="AA104" s="114">
        <v>2.2367794543999997</v>
      </c>
      <c r="AB104" s="114">
        <v>2.6769409079200002</v>
      </c>
      <c r="AC104" s="114">
        <v>2.5077241083999997</v>
      </c>
      <c r="AD104" s="114">
        <v>1.9630763</v>
      </c>
      <c r="AE104" s="114">
        <v>2.6282052</v>
      </c>
      <c r="AF104" s="114">
        <v>3.5365840000000004</v>
      </c>
      <c r="AG104" s="114">
        <v>3.7405258400000001</v>
      </c>
      <c r="AH104" s="114">
        <v>4.005311324</v>
      </c>
      <c r="AI104" s="114">
        <v>3.8114029168000005</v>
      </c>
      <c r="AJ104" s="114">
        <v>4.2153498204000002</v>
      </c>
      <c r="AK104" s="114">
        <v>4.1907507188000004</v>
      </c>
      <c r="AL104" s="114">
        <v>5.6019828615157898</v>
      </c>
      <c r="AM104" s="114">
        <v>5.5284207998105259</v>
      </c>
      <c r="AN104" s="114">
        <v>2.6795484302947372</v>
      </c>
      <c r="AO104" s="114">
        <v>3.0298550013473684</v>
      </c>
      <c r="AP104" s="613"/>
      <c r="AQ104" s="615"/>
      <c r="AR104" s="613"/>
      <c r="AS104" s="615"/>
      <c r="AT104" s="613"/>
      <c r="AU104" s="615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</row>
    <row r="105" spans="1:73" s="24" customFormat="1" x14ac:dyDescent="0.25">
      <c r="A105" s="252" t="s">
        <v>86</v>
      </c>
      <c r="B105" s="255" t="s">
        <v>56</v>
      </c>
      <c r="C105" s="255"/>
      <c r="D105" s="109" t="s">
        <v>28</v>
      </c>
      <c r="E105" s="109" t="s">
        <v>192</v>
      </c>
      <c r="F105" s="109"/>
      <c r="G105" s="175" t="s">
        <v>312</v>
      </c>
      <c r="H105" s="22">
        <v>15.600052964345515</v>
      </c>
      <c r="I105" s="22">
        <v>15.482561392970339</v>
      </c>
      <c r="J105" s="22">
        <v>15.090417015446921</v>
      </c>
      <c r="K105" s="22">
        <v>12.969726427709464</v>
      </c>
      <c r="L105" s="22">
        <v>11.998726195395655</v>
      </c>
      <c r="M105" s="22">
        <v>10.652491415063672</v>
      </c>
      <c r="N105" s="22">
        <v>9.5904339991834107</v>
      </c>
      <c r="O105" s="114">
        <v>9.2159920304327336</v>
      </c>
      <c r="P105" s="114">
        <v>7.8716958547851945</v>
      </c>
      <c r="Q105" s="114">
        <v>6.5162739195936084</v>
      </c>
      <c r="R105" s="114">
        <v>6.260771279389818</v>
      </c>
      <c r="S105" s="114">
        <v>5.7366936821994381</v>
      </c>
      <c r="T105" s="114">
        <v>5.3423629461557942</v>
      </c>
      <c r="U105" s="114">
        <v>4.6138064720172016</v>
      </c>
      <c r="V105" s="114">
        <v>6.9203627534090515</v>
      </c>
      <c r="W105" s="114">
        <v>5.5573345470239897</v>
      </c>
      <c r="X105" s="114">
        <v>5.7497759114371663</v>
      </c>
      <c r="Y105" s="114">
        <v>8.7305811954460175</v>
      </c>
      <c r="Z105" s="114">
        <v>7.018919753655064</v>
      </c>
      <c r="AA105" s="114">
        <v>6.9010512572312743</v>
      </c>
      <c r="AB105" s="114">
        <v>6.6899681626095795</v>
      </c>
      <c r="AC105" s="114">
        <v>7.3850005751473908</v>
      </c>
      <c r="AD105" s="114">
        <v>7.1131856831429161</v>
      </c>
      <c r="AE105" s="114">
        <v>6.0870657461533337</v>
      </c>
      <c r="AF105" s="114">
        <v>8.2851327045513337</v>
      </c>
      <c r="AG105" s="114">
        <v>7.6186190672399992</v>
      </c>
      <c r="AH105" s="114">
        <v>8.1974943031173328</v>
      </c>
      <c r="AI105" s="114">
        <v>8.6037772833349315</v>
      </c>
      <c r="AJ105" s="114">
        <v>5.8784597129789287</v>
      </c>
      <c r="AK105" s="114">
        <v>6.8764170467203201</v>
      </c>
      <c r="AL105" s="114">
        <v>6.774474903877203</v>
      </c>
      <c r="AM105" s="114">
        <v>6.8975394851001743</v>
      </c>
      <c r="AN105" s="114">
        <v>7.1490361221504806</v>
      </c>
      <c r="AO105" s="114">
        <v>6.8078014722938942</v>
      </c>
      <c r="AP105" s="613"/>
      <c r="AQ105" s="615"/>
      <c r="AR105" s="613"/>
      <c r="AS105" s="615"/>
      <c r="AT105" s="613"/>
      <c r="AU105" s="615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</row>
    <row r="106" spans="1:73" s="24" customFormat="1" x14ac:dyDescent="0.25">
      <c r="A106" s="252" t="s">
        <v>87</v>
      </c>
      <c r="B106" s="255" t="s">
        <v>56</v>
      </c>
      <c r="C106" s="255"/>
      <c r="D106" s="109" t="s">
        <v>29</v>
      </c>
      <c r="E106" s="109" t="s">
        <v>193</v>
      </c>
      <c r="F106" s="109"/>
      <c r="G106" s="175" t="s">
        <v>312</v>
      </c>
      <c r="H106" s="22">
        <v>19.345020779100228</v>
      </c>
      <c r="I106" s="22">
        <v>19.372405796191497</v>
      </c>
      <c r="J106" s="22">
        <v>19.162533823586301</v>
      </c>
      <c r="K106" s="22">
        <v>20.335121598645546</v>
      </c>
      <c r="L106" s="22">
        <v>18.991903054974912</v>
      </c>
      <c r="M106" s="22">
        <v>19.626677927800159</v>
      </c>
      <c r="N106" s="22">
        <v>23.109310128809675</v>
      </c>
      <c r="O106" s="22">
        <v>24.331224723537272</v>
      </c>
      <c r="P106" s="22">
        <v>20.160997677126453</v>
      </c>
      <c r="Q106" s="22">
        <v>20.630917665430555</v>
      </c>
      <c r="R106" s="22">
        <v>22.421944491360364</v>
      </c>
      <c r="S106" s="22">
        <v>22.31959519462194</v>
      </c>
      <c r="T106" s="22">
        <v>23.514268841606206</v>
      </c>
      <c r="U106" s="22">
        <v>21.951657449834954</v>
      </c>
      <c r="V106" s="22">
        <v>20.01766345773153</v>
      </c>
      <c r="W106" s="22">
        <v>19.139014769946584</v>
      </c>
      <c r="X106" s="22">
        <v>17.186616440738185</v>
      </c>
      <c r="Y106" s="22">
        <v>18.081847224878508</v>
      </c>
      <c r="Z106" s="22">
        <v>17.178525246037918</v>
      </c>
      <c r="AA106" s="22">
        <v>16.320031684281027</v>
      </c>
      <c r="AB106" s="22">
        <v>15.854047309467846</v>
      </c>
      <c r="AC106" s="22">
        <v>16.497426670780428</v>
      </c>
      <c r="AD106" s="22">
        <v>18.979558466988504</v>
      </c>
      <c r="AE106" s="22">
        <v>18.440634240548075</v>
      </c>
      <c r="AF106" s="22">
        <v>16.85806803603878</v>
      </c>
      <c r="AG106" s="22">
        <v>19.304582901574598</v>
      </c>
      <c r="AH106" s="22">
        <v>17.369792856380645</v>
      </c>
      <c r="AI106" s="22">
        <v>18.820665002465439</v>
      </c>
      <c r="AJ106" s="22">
        <v>19.837882478192256</v>
      </c>
      <c r="AK106" s="22">
        <v>18.369341827075729</v>
      </c>
      <c r="AL106" s="22">
        <v>17.873616811657087</v>
      </c>
      <c r="AM106" s="22">
        <v>19.253720845919148</v>
      </c>
      <c r="AN106" s="22">
        <v>21.960082546328263</v>
      </c>
      <c r="AO106" s="22">
        <v>22.076223064578009</v>
      </c>
      <c r="AP106" s="613"/>
      <c r="AQ106" s="615"/>
      <c r="AR106" s="613"/>
      <c r="AS106" s="615"/>
      <c r="AT106" s="613"/>
      <c r="AU106" s="615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</row>
    <row r="107" spans="1:73" s="25" customFormat="1" x14ac:dyDescent="0.25">
      <c r="A107" s="252" t="s">
        <v>54</v>
      </c>
      <c r="B107" s="255" t="s">
        <v>56</v>
      </c>
      <c r="C107" s="255"/>
      <c r="D107" s="111" t="s">
        <v>171</v>
      </c>
      <c r="E107" s="110"/>
      <c r="F107" s="110"/>
      <c r="G107" s="333" t="s">
        <v>313</v>
      </c>
      <c r="H107" s="23">
        <v>207.48113534917758</v>
      </c>
      <c r="I107" s="23">
        <v>212.03186178888896</v>
      </c>
      <c r="J107" s="23">
        <v>225.58702102180382</v>
      </c>
      <c r="K107" s="23">
        <v>236.40774938066681</v>
      </c>
      <c r="L107" s="23">
        <v>244.83071881712891</v>
      </c>
      <c r="M107" s="23">
        <v>255.41947994235574</v>
      </c>
      <c r="N107" s="23">
        <v>264.77085314091136</v>
      </c>
      <c r="O107" s="23">
        <v>272.26856425711782</v>
      </c>
      <c r="P107" s="23">
        <v>275.0555897730635</v>
      </c>
      <c r="Q107" s="23">
        <v>283.13384361127055</v>
      </c>
      <c r="R107" s="23">
        <v>292.50690649920642</v>
      </c>
      <c r="S107" s="23">
        <v>301.98699890531498</v>
      </c>
      <c r="T107" s="23">
        <v>306.63764321140201</v>
      </c>
      <c r="U107" s="23">
        <v>307.81599942507393</v>
      </c>
      <c r="V107" s="23">
        <v>316.82840962116035</v>
      </c>
      <c r="W107" s="23">
        <v>309.4550863499295</v>
      </c>
      <c r="X107" s="23">
        <v>333.07583774570196</v>
      </c>
      <c r="Y107" s="23">
        <v>336.59809645653598</v>
      </c>
      <c r="Z107" s="23">
        <v>319.07552636085347</v>
      </c>
      <c r="AA107" s="23">
        <v>309.20836584471436</v>
      </c>
      <c r="AB107" s="23">
        <v>305.67596243778644</v>
      </c>
      <c r="AC107" s="23">
        <v>286.33380167681753</v>
      </c>
      <c r="AD107" s="23">
        <v>266.02689980767514</v>
      </c>
      <c r="AE107" s="23">
        <v>265.34308724396942</v>
      </c>
      <c r="AF107" s="23">
        <v>265.43226219787164</v>
      </c>
      <c r="AG107" s="23">
        <v>264.35718550776443</v>
      </c>
      <c r="AH107" s="23">
        <v>260.49570988862047</v>
      </c>
      <c r="AI107" s="23">
        <v>257.99818993673932</v>
      </c>
      <c r="AJ107" s="23">
        <v>256.58386722176402</v>
      </c>
      <c r="AK107" s="23">
        <v>230.54539718147191</v>
      </c>
      <c r="AL107" s="23">
        <v>259.36076344304627</v>
      </c>
      <c r="AM107" s="23">
        <v>256.69476979530492</v>
      </c>
      <c r="AN107" s="23">
        <v>246.53374573465359</v>
      </c>
      <c r="AO107" s="23">
        <v>233.17458725375354</v>
      </c>
      <c r="AP107" s="613"/>
      <c r="AQ107" s="615"/>
      <c r="AR107" s="613"/>
      <c r="AS107" s="615"/>
      <c r="AT107" s="613"/>
      <c r="AU107" s="615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</row>
    <row r="108" spans="1:73" s="149" customFormat="1" x14ac:dyDescent="0.25">
      <c r="A108" s="252"/>
      <c r="B108" s="255"/>
      <c r="C108" s="255"/>
      <c r="D108" s="159"/>
      <c r="E108" s="159"/>
      <c r="F108" s="159"/>
      <c r="G108" s="158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</row>
    <row r="109" spans="1:73" s="490" customFormat="1" ht="38.25" customHeight="1" x14ac:dyDescent="0.45">
      <c r="A109" s="252"/>
      <c r="B109" s="255" t="s">
        <v>56</v>
      </c>
      <c r="C109" s="486"/>
      <c r="D109" s="494" t="s">
        <v>252</v>
      </c>
      <c r="E109" s="485"/>
      <c r="F109" s="485"/>
      <c r="G109" s="486"/>
      <c r="H109" s="487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  <c r="AF109" s="489"/>
      <c r="AG109" s="489"/>
      <c r="AH109" s="489"/>
      <c r="AI109" s="489"/>
      <c r="AJ109" s="489"/>
      <c r="AK109" s="489"/>
      <c r="AL109" s="489"/>
      <c r="AM109" s="489"/>
      <c r="AN109" s="489"/>
      <c r="AO109" s="489"/>
    </row>
    <row r="110" spans="1:73" s="243" customFormat="1" ht="38.25" customHeight="1" x14ac:dyDescent="0.25">
      <c r="A110" s="260"/>
      <c r="B110" s="255"/>
      <c r="C110" s="242"/>
      <c r="D110" s="837" t="s">
        <v>263</v>
      </c>
      <c r="E110" s="837"/>
      <c r="F110" s="837"/>
      <c r="G110" s="837"/>
      <c r="H110" s="495">
        <v>1990</v>
      </c>
      <c r="I110" s="496">
        <v>1991</v>
      </c>
      <c r="J110" s="496">
        <v>1992</v>
      </c>
      <c r="K110" s="496">
        <v>1993</v>
      </c>
      <c r="L110" s="496">
        <v>1994</v>
      </c>
      <c r="M110" s="496">
        <v>1995</v>
      </c>
      <c r="N110" s="496">
        <v>1996</v>
      </c>
      <c r="O110" s="496">
        <v>1997</v>
      </c>
      <c r="P110" s="496">
        <v>1998</v>
      </c>
      <c r="Q110" s="496">
        <v>1999</v>
      </c>
      <c r="R110" s="496">
        <v>2000</v>
      </c>
      <c r="S110" s="496">
        <v>2001</v>
      </c>
      <c r="T110" s="496">
        <v>2002</v>
      </c>
      <c r="U110" s="496">
        <v>2003</v>
      </c>
      <c r="V110" s="496">
        <v>2004</v>
      </c>
      <c r="W110" s="496">
        <v>2005</v>
      </c>
      <c r="X110" s="496">
        <v>2006</v>
      </c>
      <c r="Y110" s="496">
        <v>2007</v>
      </c>
      <c r="Z110" s="496">
        <v>2008</v>
      </c>
      <c r="AA110" s="496">
        <v>2009</v>
      </c>
      <c r="AB110" s="496">
        <v>2010</v>
      </c>
      <c r="AC110" s="496">
        <v>2011</v>
      </c>
      <c r="AD110" s="496">
        <v>2012</v>
      </c>
      <c r="AE110" s="496">
        <v>2013</v>
      </c>
      <c r="AF110" s="496">
        <v>2014</v>
      </c>
      <c r="AG110" s="496">
        <v>2015</v>
      </c>
      <c r="AH110" s="496">
        <v>2016</v>
      </c>
      <c r="AI110" s="496">
        <v>2017</v>
      </c>
      <c r="AJ110" s="496">
        <v>2018</v>
      </c>
      <c r="AK110" s="496">
        <v>2019</v>
      </c>
      <c r="AL110" s="496">
        <v>2020</v>
      </c>
      <c r="AM110" s="496">
        <v>2021</v>
      </c>
      <c r="AN110" s="496">
        <v>2022</v>
      </c>
      <c r="AO110" s="496">
        <v>2023</v>
      </c>
      <c r="AP110" s="496"/>
      <c r="AQ110" s="496"/>
      <c r="AR110" s="496"/>
      <c r="AS110" s="496"/>
      <c r="AT110" s="496"/>
      <c r="AU110" s="496"/>
      <c r="AV110" s="496"/>
    </row>
    <row r="111" spans="1:73" s="16" customFormat="1" ht="24" customHeight="1" x14ac:dyDescent="0.25">
      <c r="A111" s="248"/>
      <c r="B111" s="255" t="s">
        <v>56</v>
      </c>
      <c r="C111" s="255"/>
      <c r="D111" s="838" t="str">
        <f>$D$3</f>
        <v>Söguleg losun | Historical Emissions</v>
      </c>
      <c r="E111" s="838"/>
      <c r="F111" s="838"/>
      <c r="G111" s="838"/>
      <c r="H111" s="154"/>
      <c r="I111" s="16" t="s">
        <v>56</v>
      </c>
      <c r="J111" s="155"/>
      <c r="K111" s="156"/>
      <c r="L111" s="153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</row>
    <row r="112" spans="1:73" s="24" customFormat="1" x14ac:dyDescent="0.25">
      <c r="A112" s="252" t="s">
        <v>92</v>
      </c>
      <c r="B112" s="255" t="s">
        <v>56</v>
      </c>
      <c r="C112" s="255"/>
      <c r="D112" s="109" t="s">
        <v>32</v>
      </c>
      <c r="E112" s="109" t="s">
        <v>249</v>
      </c>
      <c r="F112" s="109"/>
      <c r="G112" s="175" t="s">
        <v>312</v>
      </c>
      <c r="H112" s="22">
        <v>221.10937807666664</v>
      </c>
      <c r="I112" s="22">
        <v>223.45648422493338</v>
      </c>
      <c r="J112" s="22">
        <v>204.96673222053337</v>
      </c>
      <c r="K112" s="22">
        <v>196.93769391346669</v>
      </c>
      <c r="L112" s="22">
        <v>215.03342151853334</v>
      </c>
      <c r="M112" s="22">
        <v>237.71387227506665</v>
      </c>
      <c r="N112" s="22">
        <v>273.30475524573336</v>
      </c>
      <c r="O112" s="22">
        <v>294.05093427306673</v>
      </c>
      <c r="P112" s="22">
        <v>340.36743871786666</v>
      </c>
      <c r="Q112" s="22">
        <v>365.77115387800001</v>
      </c>
      <c r="R112" s="22">
        <v>410.43408736853331</v>
      </c>
      <c r="S112" s="22">
        <v>351.43484296319997</v>
      </c>
      <c r="T112" s="22">
        <v>311.89578576600002</v>
      </c>
      <c r="U112" s="22">
        <v>335.20031285813332</v>
      </c>
      <c r="V112" s="22">
        <v>382.51090829640003</v>
      </c>
      <c r="W112" s="22">
        <v>424.43004818280002</v>
      </c>
      <c r="X112" s="22">
        <v>503.20407568560006</v>
      </c>
      <c r="Y112" s="22">
        <v>514.92035819013336</v>
      </c>
      <c r="Z112" s="22">
        <v>430.65361113226669</v>
      </c>
      <c r="AA112" s="22">
        <v>345.61492852480001</v>
      </c>
      <c r="AB112" s="22">
        <v>379.7535549454667</v>
      </c>
      <c r="AC112" s="22">
        <v>424.71952189760009</v>
      </c>
      <c r="AD112" s="22">
        <v>445.07818250000008</v>
      </c>
      <c r="AE112" s="22">
        <v>502.36303520266659</v>
      </c>
      <c r="AF112" s="22">
        <v>584.78753803533334</v>
      </c>
      <c r="AG112" s="22">
        <v>679.12283684040005</v>
      </c>
      <c r="AH112" s="22">
        <v>923.85523979279992</v>
      </c>
      <c r="AI112" s="22">
        <v>1155.4370035488</v>
      </c>
      <c r="AJ112" s="22">
        <v>1294.8181528967998</v>
      </c>
      <c r="AK112" s="22">
        <v>963.65322670770036</v>
      </c>
      <c r="AL112" s="22">
        <v>263.34999061560001</v>
      </c>
      <c r="AM112" s="22">
        <v>486.14060688480004</v>
      </c>
      <c r="AN112" s="22">
        <v>854.74603351946575</v>
      </c>
      <c r="AO112" s="22">
        <v>967.65275881202047</v>
      </c>
      <c r="AP112" s="613"/>
      <c r="AQ112" s="615"/>
      <c r="AR112" s="613"/>
      <c r="AS112" s="615"/>
      <c r="AT112" s="613"/>
      <c r="AU112" s="615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</row>
    <row r="113" spans="1:68" s="24" customFormat="1" x14ac:dyDescent="0.25">
      <c r="A113" s="252" t="s">
        <v>93</v>
      </c>
      <c r="B113" s="255" t="s">
        <v>56</v>
      </c>
      <c r="C113" s="255"/>
      <c r="D113" s="109" t="s">
        <v>33</v>
      </c>
      <c r="E113" s="109" t="s">
        <v>250</v>
      </c>
      <c r="F113" s="109"/>
      <c r="G113" s="175" t="s">
        <v>312</v>
      </c>
      <c r="H113" s="22">
        <v>28.078924997337403</v>
      </c>
      <c r="I113" s="22">
        <v>14.003294293724482</v>
      </c>
      <c r="J113" s="22">
        <v>20.477506171547937</v>
      </c>
      <c r="K113" s="22">
        <v>29.859948628888905</v>
      </c>
      <c r="L113" s="22">
        <v>33.981450185235616</v>
      </c>
      <c r="M113" s="22">
        <v>3.3673142021675906</v>
      </c>
      <c r="N113" s="22">
        <v>19.20316050014323</v>
      </c>
      <c r="O113" s="22">
        <v>38.488416696452902</v>
      </c>
      <c r="P113" s="22">
        <v>52.028676183577467</v>
      </c>
      <c r="Q113" s="22">
        <v>39.300358002951661</v>
      </c>
      <c r="R113" s="22">
        <v>54.39266252464077</v>
      </c>
      <c r="S113" s="22">
        <v>59.58949244727156</v>
      </c>
      <c r="T113" s="22">
        <v>85.828630656119159</v>
      </c>
      <c r="U113" s="22">
        <v>19.407378412801254</v>
      </c>
      <c r="V113" s="22">
        <v>21.049201422195413</v>
      </c>
      <c r="W113" s="22">
        <v>1.7528135484112446</v>
      </c>
      <c r="X113" s="22">
        <v>17.329076702058739</v>
      </c>
      <c r="Y113" s="22">
        <v>12.056398064687073</v>
      </c>
      <c r="Z113" s="22">
        <v>47.983835185837414</v>
      </c>
      <c r="AA113" s="22">
        <v>8.2248711263977814</v>
      </c>
      <c r="AB113" s="22">
        <v>0.25239549866666666</v>
      </c>
      <c r="AC113" s="22">
        <v>50.095054390143758</v>
      </c>
      <c r="AD113" s="22">
        <v>23.973493968715886</v>
      </c>
      <c r="AE113" s="22">
        <v>78.828862465477414</v>
      </c>
      <c r="AF113" s="22">
        <v>71.218037488772836</v>
      </c>
      <c r="AG113" s="22">
        <v>149.09981223853765</v>
      </c>
      <c r="AH113" s="22">
        <v>186.28610486189032</v>
      </c>
      <c r="AI113" s="22">
        <v>213.30217433150287</v>
      </c>
      <c r="AJ113" s="22">
        <v>242.53078987824037</v>
      </c>
      <c r="AK113" s="22">
        <v>205.50549032160174</v>
      </c>
      <c r="AL113" s="22">
        <v>77.945079331447673</v>
      </c>
      <c r="AM113" s="22">
        <v>128.49715115063333</v>
      </c>
      <c r="AN113" s="22">
        <v>287.2349714397854</v>
      </c>
      <c r="AO113" s="22">
        <v>332.63504422233115</v>
      </c>
      <c r="AP113" s="613"/>
      <c r="AQ113" s="615"/>
      <c r="AR113" s="613"/>
      <c r="AS113" s="615"/>
      <c r="AT113" s="613"/>
      <c r="AU113" s="615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</row>
    <row r="114" spans="1:68" s="25" customFormat="1" x14ac:dyDescent="0.25">
      <c r="A114" s="252" t="s">
        <v>296</v>
      </c>
      <c r="B114" s="255" t="s">
        <v>56</v>
      </c>
      <c r="C114" s="255"/>
      <c r="D114" s="111" t="s">
        <v>171</v>
      </c>
      <c r="E114" s="110"/>
      <c r="F114" s="110"/>
      <c r="G114" s="333" t="s">
        <v>313</v>
      </c>
      <c r="H114" s="23">
        <v>249.18830307400407</v>
      </c>
      <c r="I114" s="23">
        <v>237.45977851865786</v>
      </c>
      <c r="J114" s="23">
        <v>225.4442383920813</v>
      </c>
      <c r="K114" s="23">
        <v>226.79764254235559</v>
      </c>
      <c r="L114" s="23">
        <v>249.01487170376896</v>
      </c>
      <c r="M114" s="23">
        <v>241.08118647723427</v>
      </c>
      <c r="N114" s="23">
        <v>292.50791574587663</v>
      </c>
      <c r="O114" s="23">
        <v>332.53935096951966</v>
      </c>
      <c r="P114" s="23">
        <v>392.39611490144415</v>
      </c>
      <c r="Q114" s="23">
        <v>405.07151188095168</v>
      </c>
      <c r="R114" s="23">
        <v>464.82674989317411</v>
      </c>
      <c r="S114" s="23">
        <v>411.02433541047156</v>
      </c>
      <c r="T114" s="23">
        <v>397.72441642211913</v>
      </c>
      <c r="U114" s="23">
        <v>354.60769127093454</v>
      </c>
      <c r="V114" s="23">
        <v>403.56010971859541</v>
      </c>
      <c r="W114" s="23">
        <v>426.18286173121129</v>
      </c>
      <c r="X114" s="23">
        <v>520.53315238765879</v>
      </c>
      <c r="Y114" s="23">
        <v>526.97675625482043</v>
      </c>
      <c r="Z114" s="23">
        <v>478.63744631810414</v>
      </c>
      <c r="AA114" s="23">
        <v>353.83979965119778</v>
      </c>
      <c r="AB114" s="23">
        <v>380.00595044413336</v>
      </c>
      <c r="AC114" s="23">
        <v>474.81457628774382</v>
      </c>
      <c r="AD114" s="23">
        <v>469.05167646871598</v>
      </c>
      <c r="AE114" s="23">
        <v>581.19189766814407</v>
      </c>
      <c r="AF114" s="23">
        <v>656.00557552410612</v>
      </c>
      <c r="AG114" s="23">
        <v>828.22264907893759</v>
      </c>
      <c r="AH114" s="23">
        <v>1110.1413446546903</v>
      </c>
      <c r="AI114" s="23">
        <v>1368.7391778803028</v>
      </c>
      <c r="AJ114" s="23">
        <v>1537.3489427750405</v>
      </c>
      <c r="AK114" s="23">
        <v>1169.1587170293021</v>
      </c>
      <c r="AL114" s="23">
        <v>341.29506994704764</v>
      </c>
      <c r="AM114" s="23">
        <v>614.63775803543331</v>
      </c>
      <c r="AN114" s="23">
        <v>1141.9810049592513</v>
      </c>
      <c r="AO114" s="23">
        <v>1300.2878030343516</v>
      </c>
      <c r="AP114" s="613"/>
      <c r="AQ114" s="615"/>
      <c r="AR114" s="613"/>
      <c r="AS114" s="615"/>
      <c r="AT114" s="613"/>
      <c r="AU114" s="615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</row>
    <row r="115" spans="1:68" x14ac:dyDescent="0.25">
      <c r="C115" s="255"/>
      <c r="D115" s="167"/>
      <c r="E115" s="167"/>
      <c r="F115" s="167"/>
      <c r="G115" s="334"/>
      <c r="AK115" s="168"/>
      <c r="AL115" s="168"/>
      <c r="AM115" s="168"/>
      <c r="AN115" s="168"/>
      <c r="AO115" s="168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8" x14ac:dyDescent="0.25">
      <c r="C116" s="255"/>
      <c r="D116" s="167"/>
      <c r="E116" s="167"/>
      <c r="F116" s="167"/>
      <c r="G116" s="334"/>
      <c r="AK116" s="168"/>
      <c r="AL116" s="168"/>
      <c r="AM116" s="168"/>
      <c r="BN116" s="169"/>
      <c r="BO116" s="169"/>
      <c r="BP116" s="169"/>
    </row>
    <row r="117" spans="1:68" x14ac:dyDescent="0.25">
      <c r="C117" s="255"/>
      <c r="D117" s="167"/>
      <c r="E117" s="167"/>
      <c r="F117" s="167"/>
      <c r="G117" s="334"/>
      <c r="AK117" s="168"/>
      <c r="AL117" s="168"/>
      <c r="AM117" s="168"/>
      <c r="BN117" s="169"/>
      <c r="BO117" s="169"/>
      <c r="BP117" s="169"/>
    </row>
    <row r="118" spans="1:68" s="29" customFormat="1" ht="15.75" thickBot="1" x14ac:dyDescent="0.3">
      <c r="A118" s="638"/>
      <c r="B118" s="256"/>
      <c r="C118" s="256"/>
      <c r="D118" s="170"/>
      <c r="E118" s="170"/>
      <c r="F118" s="170"/>
      <c r="G118" s="335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</row>
    <row r="119" spans="1:68" ht="15.75" thickTop="1" x14ac:dyDescent="0.25">
      <c r="C119" s="255"/>
      <c r="D119" s="167"/>
      <c r="E119" s="167"/>
      <c r="F119" s="167"/>
      <c r="G119" s="334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BN119" s="169"/>
      <c r="BO119" s="169"/>
      <c r="BP119" s="169"/>
    </row>
    <row r="120" spans="1:68" s="504" customFormat="1" ht="37.5" customHeight="1" x14ac:dyDescent="0.45">
      <c r="A120" s="639"/>
      <c r="B120" s="571" t="s">
        <v>56</v>
      </c>
      <c r="C120" s="502"/>
      <c r="D120" s="501" t="s">
        <v>253</v>
      </c>
      <c r="E120" s="502"/>
      <c r="F120" s="502"/>
      <c r="G120" s="502"/>
      <c r="H120" s="502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  <c r="AA120" s="503"/>
      <c r="AB120" s="503"/>
    </row>
    <row r="121" spans="1:68" s="500" customFormat="1" ht="22.5" customHeight="1" x14ac:dyDescent="0.25">
      <c r="A121" s="640"/>
      <c r="B121" s="512"/>
      <c r="C121" s="498"/>
      <c r="D121" s="497"/>
      <c r="E121" s="498"/>
      <c r="F121" s="498"/>
      <c r="G121" s="498"/>
      <c r="H121" s="505">
        <v>2005</v>
      </c>
      <c r="I121" s="456">
        <v>2006</v>
      </c>
      <c r="J121" s="456">
        <v>2007</v>
      </c>
      <c r="K121" s="456">
        <v>2008</v>
      </c>
      <c r="L121" s="456">
        <v>2009</v>
      </c>
      <c r="M121" s="456">
        <v>2010</v>
      </c>
      <c r="N121" s="456">
        <v>2011</v>
      </c>
      <c r="O121" s="456">
        <v>2012</v>
      </c>
      <c r="P121" s="456">
        <v>2013</v>
      </c>
      <c r="Q121" s="456">
        <v>2014</v>
      </c>
      <c r="R121" s="456">
        <v>2015</v>
      </c>
      <c r="S121" s="456">
        <v>2016</v>
      </c>
      <c r="T121" s="456">
        <v>2017</v>
      </c>
      <c r="U121" s="456">
        <v>2018</v>
      </c>
      <c r="V121" s="456">
        <v>2019</v>
      </c>
      <c r="W121" s="456">
        <v>2020</v>
      </c>
      <c r="X121" s="456">
        <v>2021</v>
      </c>
      <c r="Y121" s="456">
        <v>2022</v>
      </c>
      <c r="Z121" s="456">
        <v>2023</v>
      </c>
      <c r="AA121" s="499"/>
      <c r="AB121" s="499"/>
    </row>
    <row r="122" spans="1:68" s="207" customFormat="1" ht="17.25" customHeight="1" x14ac:dyDescent="0.25">
      <c r="A122" s="259"/>
      <c r="B122" s="393"/>
      <c r="C122" s="619"/>
      <c r="D122" s="619" t="str">
        <f>$D$3</f>
        <v>Söguleg losun | Historical Emissions</v>
      </c>
      <c r="E122" s="619"/>
      <c r="F122" s="619"/>
      <c r="G122" s="619"/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67"/>
      <c r="AB122" s="67"/>
    </row>
    <row r="123" spans="1:68" s="26" customFormat="1" ht="19.5" customHeight="1" x14ac:dyDescent="0.2">
      <c r="A123" s="216" t="s">
        <v>98</v>
      </c>
      <c r="B123" s="26" t="s">
        <v>56</v>
      </c>
      <c r="C123" s="623" t="s">
        <v>56</v>
      </c>
      <c r="D123" s="395" t="s">
        <v>162</v>
      </c>
      <c r="E123" s="395" t="s">
        <v>163</v>
      </c>
      <c r="G123" s="175" t="s">
        <v>332</v>
      </c>
      <c r="H123" s="176">
        <v>852.8829310927872</v>
      </c>
      <c r="I123" s="176">
        <v>1273.7572023640969</v>
      </c>
      <c r="J123" s="176">
        <v>1414.5983388630546</v>
      </c>
      <c r="K123" s="176">
        <v>1931.1151277677468</v>
      </c>
      <c r="L123" s="176">
        <v>1764.1449942061058</v>
      </c>
      <c r="M123" s="176">
        <v>1783.4334517036384</v>
      </c>
      <c r="N123" s="176">
        <v>1680.8912393316</v>
      </c>
      <c r="O123" s="176">
        <v>1754.8609910767771</v>
      </c>
      <c r="P123" s="176">
        <v>1771.0008677179781</v>
      </c>
      <c r="Q123" s="176">
        <v>1744.9715736278213</v>
      </c>
      <c r="R123" s="176">
        <v>1801.5981907139039</v>
      </c>
      <c r="S123" s="176">
        <v>1771.6683497563383</v>
      </c>
      <c r="T123" s="176">
        <v>1824.7934949065466</v>
      </c>
      <c r="U123" s="176">
        <v>1846.9543490538745</v>
      </c>
      <c r="V123" s="176">
        <v>1788.0091929632458</v>
      </c>
      <c r="W123" s="176">
        <v>1752.0332140392577</v>
      </c>
      <c r="X123" s="176">
        <v>1828.02</v>
      </c>
      <c r="Y123" s="176">
        <v>1875.076</v>
      </c>
      <c r="Z123" s="176">
        <v>1812.53</v>
      </c>
      <c r="AA123" s="613"/>
      <c r="AB123" s="615"/>
      <c r="AC123" s="613"/>
      <c r="AD123" s="615"/>
      <c r="AE123" s="613"/>
      <c r="AF123" s="615"/>
    </row>
    <row r="124" spans="1:68" s="26" customFormat="1" ht="19.5" customHeight="1" x14ac:dyDescent="0.2">
      <c r="A124" s="637" t="s">
        <v>99</v>
      </c>
      <c r="B124" s="216" t="s">
        <v>99</v>
      </c>
      <c r="C124" s="623" t="s">
        <v>56</v>
      </c>
      <c r="D124" s="396" t="s">
        <v>107</v>
      </c>
      <c r="E124" s="395" t="s">
        <v>154</v>
      </c>
      <c r="F124" s="109" t="s">
        <v>168</v>
      </c>
      <c r="G124" s="175" t="s">
        <v>332</v>
      </c>
      <c r="H124" s="176">
        <v>26.007138153333333</v>
      </c>
      <c r="I124" s="176">
        <v>28.138312839999998</v>
      </c>
      <c r="J124" s="176">
        <v>22.051151063333332</v>
      </c>
      <c r="K124" s="176">
        <v>26.235003593333332</v>
      </c>
      <c r="L124" s="176">
        <v>21.786911006666664</v>
      </c>
      <c r="M124" s="176">
        <v>21.137412779999998</v>
      </c>
      <c r="N124" s="176">
        <v>20.279152960000001</v>
      </c>
      <c r="O124" s="176">
        <v>20.86468747</v>
      </c>
      <c r="P124" s="176">
        <v>19.615938723333336</v>
      </c>
      <c r="Q124" s="176">
        <v>19.549418533333334</v>
      </c>
      <c r="R124" s="176">
        <v>20.441658636666666</v>
      </c>
      <c r="S124" s="176">
        <v>22.574404196666666</v>
      </c>
      <c r="T124" s="176">
        <v>22.95845761</v>
      </c>
      <c r="U124" s="176">
        <v>24.583191306666667</v>
      </c>
      <c r="V124" s="176">
        <v>27.755915457878668</v>
      </c>
      <c r="W124" s="176">
        <v>13.1457037426</v>
      </c>
      <c r="X124" s="176">
        <v>20.735413380000001</v>
      </c>
      <c r="Y124" s="176">
        <v>24.085325513333334</v>
      </c>
      <c r="Z124" s="176">
        <v>22.340912733333333</v>
      </c>
      <c r="AA124" s="613"/>
      <c r="AB124" s="615"/>
      <c r="AC124" s="613"/>
      <c r="AD124" s="615"/>
    </row>
    <row r="125" spans="1:68" s="26" customFormat="1" ht="19.5" customHeight="1" x14ac:dyDescent="0.2">
      <c r="A125" s="637" t="s">
        <v>137</v>
      </c>
      <c r="B125" s="26" t="s">
        <v>56</v>
      </c>
      <c r="C125" s="623" t="s">
        <v>56</v>
      </c>
      <c r="D125" s="395" t="s">
        <v>164</v>
      </c>
      <c r="E125" s="176" t="s">
        <v>165</v>
      </c>
      <c r="G125" s="175" t="s">
        <v>332</v>
      </c>
      <c r="H125" s="176">
        <f>H137</f>
        <v>3250.1892402448234</v>
      </c>
      <c r="I125" s="176">
        <f t="shared" ref="I125:Z125" si="15">I137</f>
        <v>3385.0669946363805</v>
      </c>
      <c r="J125" s="176">
        <f>J137</f>
        <v>3556.1681651515801</v>
      </c>
      <c r="K125" s="176">
        <f t="shared" si="15"/>
        <v>3416.9726961963433</v>
      </c>
      <c r="L125" s="176">
        <f t="shared" si="15"/>
        <v>3285.826344953844</v>
      </c>
      <c r="M125" s="176">
        <f t="shared" si="15"/>
        <v>3171.9034722436836</v>
      </c>
      <c r="N125" s="176">
        <f t="shared" si="15"/>
        <v>3062.0849905852087</v>
      </c>
      <c r="O125" s="176">
        <f t="shared" si="15"/>
        <v>2978.8461280463689</v>
      </c>
      <c r="P125" s="176">
        <f t="shared" si="15"/>
        <v>2967.610921403998</v>
      </c>
      <c r="Q125" s="176">
        <f t="shared" si="15"/>
        <v>2997.8369272987338</v>
      </c>
      <c r="R125" s="176">
        <f t="shared" si="15"/>
        <v>3023.6170180752815</v>
      </c>
      <c r="S125" s="176">
        <f t="shared" si="15"/>
        <v>3003.8331485852163</v>
      </c>
      <c r="T125" s="176">
        <f t="shared" si="15"/>
        <v>3037.8082770398246</v>
      </c>
      <c r="U125" s="176">
        <f t="shared" si="15"/>
        <v>3073.2920691896406</v>
      </c>
      <c r="V125" s="176">
        <f t="shared" si="15"/>
        <v>2981.9077496058007</v>
      </c>
      <c r="W125" s="176">
        <f t="shared" si="15"/>
        <v>2841.1157509342306</v>
      </c>
      <c r="X125" s="176">
        <f t="shared" si="15"/>
        <v>2881.6542309108368</v>
      </c>
      <c r="Y125" s="176">
        <f>Y137</f>
        <v>2883.865759031476</v>
      </c>
      <c r="Z125" s="176">
        <f t="shared" si="15"/>
        <v>2812.6902746094856</v>
      </c>
      <c r="AA125" s="613"/>
      <c r="AB125" s="615"/>
      <c r="AC125" s="613"/>
      <c r="AD125" s="615"/>
    </row>
    <row r="126" spans="1:68" s="26" customFormat="1" ht="19.5" customHeight="1" x14ac:dyDescent="0.2">
      <c r="A126" s="216" t="s">
        <v>53</v>
      </c>
      <c r="B126" s="649" t="s">
        <v>56</v>
      </c>
      <c r="C126" s="623" t="s">
        <v>56</v>
      </c>
      <c r="D126" s="176" t="s">
        <v>167</v>
      </c>
      <c r="E126" s="176" t="s">
        <v>166</v>
      </c>
      <c r="G126" s="175" t="s">
        <v>332</v>
      </c>
      <c r="H126" s="176">
        <v>8094.3155077845931</v>
      </c>
      <c r="I126" s="176">
        <v>8137.7707307947294</v>
      </c>
      <c r="J126" s="176">
        <v>8033.0638332903663</v>
      </c>
      <c r="K126" s="176">
        <v>8068.2905228479858</v>
      </c>
      <c r="L126" s="176">
        <v>8129.9927395717596</v>
      </c>
      <c r="M126" s="176">
        <v>8102.9723756149424</v>
      </c>
      <c r="N126" s="176">
        <v>8080.3910992854117</v>
      </c>
      <c r="O126" s="176">
        <v>8083.5639237936675</v>
      </c>
      <c r="P126" s="176">
        <v>8082.919290300546</v>
      </c>
      <c r="Q126" s="176">
        <v>8074.9415116811297</v>
      </c>
      <c r="R126" s="176">
        <v>8064.7733356315666</v>
      </c>
      <c r="S126" s="176">
        <v>8045.8707348533044</v>
      </c>
      <c r="T126" s="176">
        <v>8017.1893686670883</v>
      </c>
      <c r="U126" s="176">
        <v>8003.7823871271967</v>
      </c>
      <c r="V126" s="176">
        <v>8016.2787834403807</v>
      </c>
      <c r="W126" s="176">
        <v>8050.7790467144341</v>
      </c>
      <c r="X126" s="176">
        <v>8057.7408961241317</v>
      </c>
      <c r="Y126" s="176">
        <v>8043.5513251480124</v>
      </c>
      <c r="Z126" s="176">
        <v>8042.6370814570228</v>
      </c>
      <c r="AA126" s="613"/>
      <c r="AB126" s="615"/>
      <c r="AC126" s="613"/>
      <c r="AD126" s="615"/>
    </row>
    <row r="127" spans="1:68" s="27" customFormat="1" ht="19.5" customHeight="1" x14ac:dyDescent="0.2">
      <c r="A127" s="637" t="s">
        <v>57</v>
      </c>
      <c r="B127" s="216" t="s">
        <v>56</v>
      </c>
      <c r="C127" s="623" t="s">
        <v>56</v>
      </c>
      <c r="D127" s="198" t="s">
        <v>169</v>
      </c>
      <c r="E127" s="198"/>
      <c r="G127" s="333" t="s">
        <v>333</v>
      </c>
      <c r="H127" s="198">
        <f t="shared" ref="H127" si="16">SUM(H123:H126)</f>
        <v>12223.394817275537</v>
      </c>
      <c r="I127" s="198">
        <f t="shared" ref="I127:Z127" si="17">SUM(I123:I126)</f>
        <v>12824.733240635207</v>
      </c>
      <c r="J127" s="198">
        <f t="shared" si="17"/>
        <v>13025.881488368334</v>
      </c>
      <c r="K127" s="198">
        <f t="shared" si="17"/>
        <v>13442.613350405409</v>
      </c>
      <c r="L127" s="198">
        <f t="shared" si="17"/>
        <v>13201.750989738375</v>
      </c>
      <c r="M127" s="198">
        <f t="shared" si="17"/>
        <v>13079.446712342266</v>
      </c>
      <c r="N127" s="198">
        <f t="shared" si="17"/>
        <v>12843.646482162221</v>
      </c>
      <c r="O127" s="198">
        <f t="shared" si="17"/>
        <v>12838.135730386814</v>
      </c>
      <c r="P127" s="198">
        <f t="shared" si="17"/>
        <v>12841.147018145855</v>
      </c>
      <c r="Q127" s="198">
        <f t="shared" si="17"/>
        <v>12837.299431141018</v>
      </c>
      <c r="R127" s="198">
        <f t="shared" si="17"/>
        <v>12910.430203057418</v>
      </c>
      <c r="S127" s="198">
        <f t="shared" si="17"/>
        <v>12843.946637391526</v>
      </c>
      <c r="T127" s="198">
        <f t="shared" si="17"/>
        <v>12902.74959822346</v>
      </c>
      <c r="U127" s="198">
        <f t="shared" si="17"/>
        <v>12948.611996677379</v>
      </c>
      <c r="V127" s="198">
        <f t="shared" si="17"/>
        <v>12813.951641467305</v>
      </c>
      <c r="W127" s="198">
        <f t="shared" si="17"/>
        <v>12657.073715430522</v>
      </c>
      <c r="X127" s="198">
        <f t="shared" si="17"/>
        <v>12788.150540414968</v>
      </c>
      <c r="Y127" s="198">
        <f t="shared" si="17"/>
        <v>12826.578409692822</v>
      </c>
      <c r="Z127" s="198">
        <f t="shared" si="17"/>
        <v>12690.198268799842</v>
      </c>
      <c r="AA127" s="613"/>
      <c r="AB127" s="615"/>
      <c r="AC127" s="613"/>
      <c r="AD127" s="615"/>
    </row>
    <row r="128" spans="1:68" s="27" customFormat="1" ht="19.5" customHeight="1" x14ac:dyDescent="0.2">
      <c r="A128" s="637" t="s">
        <v>57</v>
      </c>
      <c r="B128" s="216" t="s">
        <v>56</v>
      </c>
      <c r="C128" s="623" t="s">
        <v>56</v>
      </c>
      <c r="D128" s="198" t="s">
        <v>170</v>
      </c>
      <c r="E128" s="198"/>
      <c r="G128" s="333" t="s">
        <v>333</v>
      </c>
      <c r="H128" s="198">
        <v>4129.0793094909441</v>
      </c>
      <c r="I128" s="198">
        <v>4686.9625098404777</v>
      </c>
      <c r="J128" s="198">
        <v>4992.8176550779681</v>
      </c>
      <c r="K128" s="198">
        <v>5374.3228275574238</v>
      </c>
      <c r="L128" s="198">
        <v>5071.7582501666166</v>
      </c>
      <c r="M128" s="198">
        <v>4976.4743367273222</v>
      </c>
      <c r="N128" s="198">
        <v>4763.2553828768087</v>
      </c>
      <c r="O128" s="198">
        <v>4754.571806593146</v>
      </c>
      <c r="P128" s="198">
        <v>4758.2277278453093</v>
      </c>
      <c r="Q128" s="198">
        <v>4762.3579194598888</v>
      </c>
      <c r="R128" s="198">
        <v>4845.6568674258524</v>
      </c>
      <c r="S128" s="198">
        <v>4798.0759025382213</v>
      </c>
      <c r="T128" s="198">
        <v>4885.5602295563713</v>
      </c>
      <c r="U128" s="198">
        <v>4944.8296095501819</v>
      </c>
      <c r="V128" s="198">
        <v>4797.6728580269255</v>
      </c>
      <c r="W128" s="198">
        <v>4606.2946687160884</v>
      </c>
      <c r="X128" s="198">
        <v>4730.4096442908367</v>
      </c>
      <c r="Y128" s="198">
        <v>4783.0270845448094</v>
      </c>
      <c r="Z128" s="198">
        <v>4647.5611873428188</v>
      </c>
      <c r="AA128" s="613"/>
      <c r="AB128" s="615"/>
      <c r="AC128" s="613"/>
      <c r="AD128" s="615"/>
    </row>
    <row r="129" spans="1:54" s="173" customFormat="1" ht="17.25" customHeight="1" x14ac:dyDescent="0.25">
      <c r="A129" s="216"/>
      <c r="B129" s="218"/>
      <c r="C129" s="218"/>
      <c r="D129" s="202"/>
      <c r="E129" s="202"/>
      <c r="F129" s="202"/>
      <c r="G129" s="202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174"/>
    </row>
    <row r="130" spans="1:54" s="510" customFormat="1" ht="38.25" customHeight="1" x14ac:dyDescent="0.45">
      <c r="A130" s="637"/>
      <c r="B130" s="218"/>
      <c r="C130" s="629"/>
      <c r="D130" s="506" t="s">
        <v>254</v>
      </c>
      <c r="E130" s="507"/>
      <c r="F130" s="508"/>
      <c r="G130" s="508"/>
      <c r="H130" s="509"/>
      <c r="I130" s="509"/>
      <c r="J130" s="509"/>
      <c r="K130" s="509"/>
      <c r="L130" s="509"/>
      <c r="M130" s="509"/>
      <c r="N130" s="509"/>
      <c r="O130" s="509"/>
      <c r="P130" s="509"/>
      <c r="Q130" s="509"/>
      <c r="R130" s="509"/>
      <c r="S130" s="509"/>
      <c r="T130" s="509"/>
      <c r="U130" s="509"/>
      <c r="V130" s="509"/>
      <c r="W130" s="509"/>
      <c r="X130" s="509"/>
      <c r="Z130" s="509"/>
    </row>
    <row r="131" spans="1:54" s="516" customFormat="1" ht="22.5" customHeight="1" x14ac:dyDescent="0.25">
      <c r="A131" s="640"/>
      <c r="B131" s="512"/>
      <c r="C131" s="630"/>
      <c r="D131" s="526" t="s">
        <v>132</v>
      </c>
      <c r="E131" s="511"/>
      <c r="F131" s="513"/>
      <c r="G131" s="513"/>
      <c r="H131" s="514">
        <v>2005</v>
      </c>
      <c r="I131" s="515">
        <v>2006</v>
      </c>
      <c r="J131" s="515">
        <v>2007</v>
      </c>
      <c r="K131" s="515">
        <v>2008</v>
      </c>
      <c r="L131" s="515">
        <v>2009</v>
      </c>
      <c r="M131" s="515">
        <v>2010</v>
      </c>
      <c r="N131" s="515">
        <v>2011</v>
      </c>
      <c r="O131" s="515">
        <v>2012</v>
      </c>
      <c r="P131" s="515">
        <v>2013</v>
      </c>
      <c r="Q131" s="515">
        <v>2014</v>
      </c>
      <c r="R131" s="515">
        <v>2015</v>
      </c>
      <c r="S131" s="515">
        <v>2016</v>
      </c>
      <c r="T131" s="515">
        <v>2017</v>
      </c>
      <c r="U131" s="515">
        <v>2018</v>
      </c>
      <c r="V131" s="515">
        <v>2019</v>
      </c>
      <c r="W131" s="515">
        <v>2020</v>
      </c>
      <c r="X131" s="515">
        <v>2021</v>
      </c>
      <c r="Y131" s="515">
        <v>2022</v>
      </c>
      <c r="Z131" s="515">
        <v>2023</v>
      </c>
      <c r="AA131" s="515">
        <v>2024</v>
      </c>
      <c r="AB131" s="515">
        <v>2025</v>
      </c>
      <c r="AC131" s="515">
        <v>2026</v>
      </c>
      <c r="AD131" s="515">
        <v>2027</v>
      </c>
      <c r="AE131" s="515">
        <v>2028</v>
      </c>
      <c r="AF131" s="515">
        <v>2029</v>
      </c>
      <c r="AG131" s="515">
        <v>2030</v>
      </c>
      <c r="AH131" s="515"/>
      <c r="AI131" s="515"/>
      <c r="AJ131" s="515"/>
      <c r="AK131" s="515"/>
      <c r="AL131" s="515"/>
      <c r="AM131" s="515"/>
      <c r="AN131" s="515"/>
    </row>
    <row r="132" spans="1:54" s="207" customFormat="1" ht="17.25" customHeight="1" x14ac:dyDescent="0.25">
      <c r="A132" s="259"/>
      <c r="B132" s="393"/>
      <c r="C132" s="623" t="s">
        <v>56</v>
      </c>
      <c r="D132" s="623" t="str">
        <f>$D$3</f>
        <v>Söguleg losun | Historical Emissions</v>
      </c>
      <c r="E132" s="623"/>
      <c r="F132" s="623"/>
      <c r="G132" s="623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67"/>
      <c r="AB132" s="67"/>
    </row>
    <row r="133" spans="1:54" s="204" customFormat="1" x14ac:dyDescent="0.2">
      <c r="A133" s="637" t="s">
        <v>50</v>
      </c>
      <c r="B133" s="216" t="s">
        <v>299</v>
      </c>
      <c r="C133" s="623" t="s">
        <v>56</v>
      </c>
      <c r="D133" s="176" t="s">
        <v>3</v>
      </c>
      <c r="E133" s="22" t="s">
        <v>155</v>
      </c>
      <c r="F133" s="176" t="s">
        <v>160</v>
      </c>
      <c r="G133" s="175" t="s">
        <v>332</v>
      </c>
      <c r="H133" s="176">
        <v>2101.2623461482826</v>
      </c>
      <c r="I133" s="176">
        <v>2168.1419491705224</v>
      </c>
      <c r="J133" s="176">
        <v>2315.5766889904016</v>
      </c>
      <c r="K133" s="176">
        <v>2183.6599935790118</v>
      </c>
      <c r="L133" s="176">
        <v>2095.1660671641989</v>
      </c>
      <c r="M133" s="176">
        <v>1983.8614454676456</v>
      </c>
      <c r="N133" s="176">
        <v>1862.7511833251983</v>
      </c>
      <c r="O133" s="176">
        <v>1819.0483321496226</v>
      </c>
      <c r="P133" s="176">
        <v>1789.5810940570325</v>
      </c>
      <c r="Q133" s="176">
        <v>1781.4360210964496</v>
      </c>
      <c r="R133" s="176">
        <v>1825.42812645205</v>
      </c>
      <c r="S133" s="176">
        <v>1793.9497039960333</v>
      </c>
      <c r="T133" s="176">
        <v>1836.275070194625</v>
      </c>
      <c r="U133" s="176">
        <v>1874.2371057711734</v>
      </c>
      <c r="V133" s="176">
        <v>1815.0968979310089</v>
      </c>
      <c r="W133" s="176">
        <v>1643.2848334678952</v>
      </c>
      <c r="X133" s="176">
        <v>1719.180545592852</v>
      </c>
      <c r="Y133" s="176">
        <v>1775.3438687030614</v>
      </c>
      <c r="Z133" s="176">
        <v>1746.627912740661</v>
      </c>
      <c r="AA133" s="613"/>
      <c r="AB133" s="615"/>
      <c r="AC133" s="613"/>
      <c r="AD133" s="615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</row>
    <row r="134" spans="1:54" s="204" customFormat="1" x14ac:dyDescent="0.2">
      <c r="A134" s="637" t="s">
        <v>51</v>
      </c>
      <c r="B134" s="216" t="s">
        <v>300</v>
      </c>
      <c r="C134" s="623" t="s">
        <v>56</v>
      </c>
      <c r="D134" s="176" t="s">
        <v>284</v>
      </c>
      <c r="E134" s="22" t="s">
        <v>156</v>
      </c>
      <c r="F134" s="176" t="s">
        <v>161</v>
      </c>
      <c r="G134" s="175" t="s">
        <v>332</v>
      </c>
      <c r="H134" s="176">
        <v>128.33882085448397</v>
      </c>
      <c r="I134" s="176">
        <v>145.63415500314068</v>
      </c>
      <c r="J134" s="176">
        <v>148.85297535344944</v>
      </c>
      <c r="K134" s="176">
        <v>143.39103444924103</v>
      </c>
      <c r="L134" s="176">
        <v>121.62578819655323</v>
      </c>
      <c r="M134" s="176">
        <v>133.4320138300875</v>
      </c>
      <c r="N134" s="176">
        <v>166.57826586074043</v>
      </c>
      <c r="O134" s="176">
        <v>154.74006435750107</v>
      </c>
      <c r="P134" s="176">
        <v>182.31424337186309</v>
      </c>
      <c r="Q134" s="176">
        <v>179.59991733914126</v>
      </c>
      <c r="R134" s="176">
        <v>171.46580606766543</v>
      </c>
      <c r="S134" s="176">
        <v>187.95264055452139</v>
      </c>
      <c r="T134" s="176">
        <v>179.64056237114505</v>
      </c>
      <c r="U134" s="176">
        <v>199.87744683562141</v>
      </c>
      <c r="V134" s="176">
        <v>209.46873172426831</v>
      </c>
      <c r="W134" s="176">
        <v>214.01922796811164</v>
      </c>
      <c r="X134" s="176">
        <v>178.16974969011562</v>
      </c>
      <c r="Y134" s="176">
        <v>148.70437736643112</v>
      </c>
      <c r="Z134" s="176">
        <v>138.99420109361745</v>
      </c>
      <c r="AA134" s="613"/>
      <c r="AB134" s="615"/>
      <c r="AC134" s="613"/>
      <c r="AD134" s="615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</row>
    <row r="135" spans="1:54" s="204" customFormat="1" x14ac:dyDescent="0.2">
      <c r="A135" s="637" t="s">
        <v>52</v>
      </c>
      <c r="B135" s="216" t="s">
        <v>301</v>
      </c>
      <c r="C135" s="623" t="s">
        <v>56</v>
      </c>
      <c r="D135" s="176" t="s">
        <v>2</v>
      </c>
      <c r="E135" s="22" t="s">
        <v>157</v>
      </c>
      <c r="F135" s="176"/>
      <c r="G135" s="175" t="s">
        <v>332</v>
      </c>
      <c r="H135" s="176">
        <v>711.13298689212684</v>
      </c>
      <c r="I135" s="176">
        <v>738.21505271701574</v>
      </c>
      <c r="J135" s="176">
        <v>755.14040435119284</v>
      </c>
      <c r="K135" s="176">
        <v>770.84614180723759</v>
      </c>
      <c r="L135" s="176">
        <v>759.82612374837686</v>
      </c>
      <c r="M135" s="176">
        <v>748.93405050816432</v>
      </c>
      <c r="N135" s="176">
        <v>746.42173972245234</v>
      </c>
      <c r="O135" s="176">
        <v>739.03083173156972</v>
      </c>
      <c r="P135" s="176">
        <v>730.37249673113286</v>
      </c>
      <c r="Q135" s="176">
        <v>771.36872666527131</v>
      </c>
      <c r="R135" s="176">
        <v>762.36590004780226</v>
      </c>
      <c r="S135" s="176">
        <v>761.43509414604023</v>
      </c>
      <c r="T135" s="176">
        <v>763.8944545373156</v>
      </c>
      <c r="U135" s="176">
        <v>742.59364936108125</v>
      </c>
      <c r="V135" s="176">
        <v>726.79672276905148</v>
      </c>
      <c r="W135" s="176">
        <v>724.45092605517732</v>
      </c>
      <c r="X135" s="176">
        <v>727.6080579756449</v>
      </c>
      <c r="Y135" s="176">
        <v>713.28202290709578</v>
      </c>
      <c r="Z135" s="176">
        <v>693.89491902799296</v>
      </c>
      <c r="AA135" s="613"/>
      <c r="AB135" s="615"/>
      <c r="AC135" s="613"/>
      <c r="AD135" s="615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</row>
    <row r="136" spans="1:54" s="204" customFormat="1" x14ac:dyDescent="0.2">
      <c r="A136" s="637" t="s">
        <v>54</v>
      </c>
      <c r="B136" s="216" t="s">
        <v>302</v>
      </c>
      <c r="C136" s="623" t="s">
        <v>56</v>
      </c>
      <c r="D136" s="176" t="s">
        <v>1</v>
      </c>
      <c r="E136" s="22" t="s">
        <v>158</v>
      </c>
      <c r="F136" s="176"/>
      <c r="G136" s="175" t="s">
        <v>332</v>
      </c>
      <c r="H136" s="176">
        <v>309.4550863499295</v>
      </c>
      <c r="I136" s="176">
        <v>333.07583774570196</v>
      </c>
      <c r="J136" s="176">
        <v>336.59809645653598</v>
      </c>
      <c r="K136" s="176">
        <v>319.07552636085347</v>
      </c>
      <c r="L136" s="176">
        <v>309.20836584471436</v>
      </c>
      <c r="M136" s="176">
        <v>305.67596243778644</v>
      </c>
      <c r="N136" s="176">
        <v>286.33380167681753</v>
      </c>
      <c r="O136" s="176">
        <v>266.02689980767514</v>
      </c>
      <c r="P136" s="176">
        <v>265.34308724396942</v>
      </c>
      <c r="Q136" s="176">
        <v>265.43226219787164</v>
      </c>
      <c r="R136" s="176">
        <v>264.35718550776443</v>
      </c>
      <c r="S136" s="176">
        <v>260.49570988862047</v>
      </c>
      <c r="T136" s="176">
        <v>257.99818993673932</v>
      </c>
      <c r="U136" s="176">
        <v>256.58386722176402</v>
      </c>
      <c r="V136" s="176">
        <v>230.54539718147191</v>
      </c>
      <c r="W136" s="176">
        <v>259.36076344304627</v>
      </c>
      <c r="X136" s="176">
        <v>256.69476979530492</v>
      </c>
      <c r="Y136" s="176">
        <v>246.53374573465359</v>
      </c>
      <c r="Z136" s="176">
        <v>233.17458725375354</v>
      </c>
      <c r="AA136" s="613"/>
      <c r="AB136" s="615"/>
      <c r="AC136" s="613"/>
      <c r="AD136" s="615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</row>
    <row r="137" spans="1:54" s="205" customFormat="1" x14ac:dyDescent="0.2">
      <c r="A137" s="637" t="s">
        <v>137</v>
      </c>
      <c r="B137" s="216" t="s">
        <v>56</v>
      </c>
      <c r="C137" s="623" t="s">
        <v>56</v>
      </c>
      <c r="D137" s="198" t="s">
        <v>171</v>
      </c>
      <c r="E137" s="23"/>
      <c r="F137" s="198"/>
      <c r="G137" s="333" t="s">
        <v>333</v>
      </c>
      <c r="H137" s="198">
        <v>3250.1892402448234</v>
      </c>
      <c r="I137" s="198">
        <v>3385.0669946363805</v>
      </c>
      <c r="J137" s="198">
        <v>3556.1681651515801</v>
      </c>
      <c r="K137" s="198">
        <v>3416.9726961963433</v>
      </c>
      <c r="L137" s="198">
        <v>3285.826344953844</v>
      </c>
      <c r="M137" s="198">
        <v>3171.9034722436836</v>
      </c>
      <c r="N137" s="198">
        <v>3062.0849905852087</v>
      </c>
      <c r="O137" s="198">
        <v>2978.8461280463689</v>
      </c>
      <c r="P137" s="198">
        <v>2967.610921403998</v>
      </c>
      <c r="Q137" s="198">
        <v>2997.8369272987338</v>
      </c>
      <c r="R137" s="198">
        <v>3023.6170180752815</v>
      </c>
      <c r="S137" s="198">
        <v>3003.8331485852163</v>
      </c>
      <c r="T137" s="198">
        <v>3037.8082770398246</v>
      </c>
      <c r="U137" s="198">
        <v>3073.2920691896406</v>
      </c>
      <c r="V137" s="198">
        <v>2981.9077496058007</v>
      </c>
      <c r="W137" s="198">
        <v>2841.1157509342306</v>
      </c>
      <c r="X137" s="198">
        <v>2881.6542309108368</v>
      </c>
      <c r="Y137" s="198">
        <v>2883.865759031476</v>
      </c>
      <c r="Z137" s="198">
        <v>2812.6902746094856</v>
      </c>
      <c r="AA137" s="613"/>
      <c r="AB137" s="615"/>
      <c r="AC137" s="613"/>
      <c r="AD137" s="615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</row>
    <row r="138" spans="1:54" s="207" customFormat="1" x14ac:dyDescent="0.25">
      <c r="A138" s="637"/>
      <c r="B138" s="218" t="s">
        <v>56</v>
      </c>
      <c r="C138" s="202"/>
      <c r="D138" s="202"/>
      <c r="E138" s="202"/>
      <c r="F138" s="202"/>
      <c r="G138" s="202"/>
      <c r="H138" s="611"/>
      <c r="I138" s="611"/>
      <c r="J138" s="611"/>
      <c r="K138" s="611"/>
      <c r="L138" s="611"/>
      <c r="M138" s="611"/>
      <c r="N138" s="611"/>
      <c r="O138" s="611"/>
      <c r="P138" s="611"/>
      <c r="Q138" s="611"/>
      <c r="R138" s="611"/>
      <c r="S138" s="611"/>
      <c r="T138" s="611"/>
      <c r="U138" s="611"/>
      <c r="V138" s="611"/>
      <c r="W138" s="611"/>
      <c r="X138" s="650"/>
      <c r="Y138" s="611"/>
      <c r="Z138" s="611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</row>
    <row r="139" spans="1:54" s="544" customFormat="1" ht="27.95" customHeight="1" x14ac:dyDescent="0.25">
      <c r="A139" s="637" t="s">
        <v>111</v>
      </c>
      <c r="B139" s="216" t="s">
        <v>111</v>
      </c>
      <c r="C139" s="543"/>
      <c r="D139" s="542" t="s">
        <v>41</v>
      </c>
      <c r="E139" s="542" t="s">
        <v>41</v>
      </c>
      <c r="F139" s="543" t="s">
        <v>172</v>
      </c>
      <c r="G139" s="543"/>
      <c r="H139" s="550">
        <v>3109.3290000000002</v>
      </c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545"/>
      <c r="U139" s="545"/>
      <c r="V139" s="545"/>
      <c r="X139" s="550"/>
      <c r="Y139" s="616"/>
      <c r="Z139" s="616"/>
      <c r="AA139" s="616"/>
      <c r="AB139" s="616"/>
      <c r="AG139" s="616"/>
      <c r="AH139" s="546"/>
      <c r="AI139" s="547"/>
      <c r="AJ139" s="547"/>
      <c r="AK139" s="547"/>
      <c r="AL139" s="547"/>
      <c r="AM139" s="547"/>
      <c r="AN139" s="547"/>
      <c r="AO139" s="547"/>
      <c r="AP139" s="547"/>
      <c r="AQ139" s="547"/>
      <c r="AR139" s="547"/>
      <c r="AS139" s="547"/>
      <c r="AT139" s="547"/>
      <c r="AU139" s="547"/>
      <c r="AV139" s="547"/>
      <c r="AW139" s="547"/>
      <c r="AX139" s="547"/>
      <c r="AY139" s="547"/>
      <c r="AZ139" s="547"/>
      <c r="BA139" s="547"/>
      <c r="BB139" s="547"/>
    </row>
    <row r="140" spans="1:54" s="544" customFormat="1" ht="33" customHeight="1" x14ac:dyDescent="0.25">
      <c r="A140" s="216" t="s">
        <v>297</v>
      </c>
      <c r="B140" s="218" t="s">
        <v>56</v>
      </c>
      <c r="C140" s="543"/>
      <c r="D140" s="548" t="s">
        <v>48</v>
      </c>
      <c r="E140" s="548" t="s">
        <v>309</v>
      </c>
      <c r="F140" s="543" t="s">
        <v>310</v>
      </c>
      <c r="G140" s="543"/>
      <c r="H140" s="543" t="s">
        <v>56</v>
      </c>
      <c r="I140" s="549"/>
      <c r="J140" s="549"/>
      <c r="K140" s="549"/>
      <c r="L140" s="549"/>
      <c r="M140" s="549"/>
      <c r="N140" s="549"/>
      <c r="O140" s="549"/>
      <c r="P140" s="549"/>
      <c r="Q140" s="549"/>
      <c r="R140" s="549"/>
      <c r="S140" s="549"/>
      <c r="T140" s="549"/>
      <c r="U140" s="549"/>
      <c r="V140" s="549"/>
      <c r="W140" s="550"/>
      <c r="X140" s="550">
        <v>2876.15</v>
      </c>
      <c r="Y140" s="550">
        <v>2802.9929999999999</v>
      </c>
      <c r="Z140" s="550">
        <v>2681.9318887499999</v>
      </c>
      <c r="AA140" s="550">
        <v>2560.8707774999998</v>
      </c>
      <c r="AB140" s="550">
        <v>2439.8096662499997</v>
      </c>
      <c r="AC140" s="550">
        <v>2412.2963946380655</v>
      </c>
      <c r="AD140" s="550">
        <v>2267.848323478549</v>
      </c>
      <c r="AE140" s="550">
        <v>2123.4002523190325</v>
      </c>
      <c r="AF140" s="550">
        <v>1978.9521811595162</v>
      </c>
      <c r="AG140" s="550">
        <v>1834.5041100000001</v>
      </c>
      <c r="AH140" s="550"/>
      <c r="AI140" s="551"/>
      <c r="AJ140" s="550"/>
      <c r="AK140" s="551"/>
      <c r="AL140" s="551"/>
      <c r="AM140" s="551"/>
      <c r="AN140" s="551"/>
      <c r="AO140" s="551"/>
      <c r="AP140" s="551"/>
      <c r="AQ140" s="551"/>
      <c r="AR140" s="551"/>
      <c r="AS140" s="551"/>
      <c r="AT140" s="551"/>
      <c r="AU140" s="551"/>
      <c r="AV140" s="551"/>
      <c r="AW140" s="551"/>
      <c r="AX140" s="551"/>
      <c r="AY140" s="551"/>
      <c r="AZ140" s="551"/>
      <c r="BA140" s="551"/>
      <c r="BB140" s="551"/>
    </row>
    <row r="141" spans="1:54" s="403" customFormat="1" x14ac:dyDescent="0.25">
      <c r="A141" s="637"/>
      <c r="B141" s="218"/>
      <c r="C141" s="167"/>
      <c r="D141" s="397"/>
      <c r="E141" s="397"/>
      <c r="F141" s="167"/>
      <c r="G141" s="167"/>
      <c r="H141" s="167"/>
      <c r="I141" s="398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400"/>
      <c r="Z141" s="399"/>
      <c r="AA141" s="401"/>
      <c r="AB141" s="401"/>
      <c r="AC141" s="401"/>
      <c r="AD141" s="401"/>
      <c r="AE141" s="401"/>
      <c r="AF141" s="401"/>
      <c r="AG141" s="658"/>
      <c r="AH141" s="40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</row>
    <row r="142" spans="1:54" s="510" customFormat="1" ht="37.5" customHeight="1" x14ac:dyDescent="0.4">
      <c r="A142" s="641"/>
      <c r="B142" s="572"/>
      <c r="C142" s="509"/>
      <c r="D142" s="506" t="s">
        <v>254</v>
      </c>
      <c r="E142" s="508"/>
      <c r="F142" s="509"/>
      <c r="G142" s="509"/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09"/>
      <c r="U142" s="509"/>
      <c r="V142" s="509"/>
    </row>
    <row r="143" spans="1:54" s="559" customFormat="1" ht="38.25" customHeight="1" x14ac:dyDescent="0.4">
      <c r="A143" s="642"/>
      <c r="B143" s="572"/>
      <c r="C143" s="506"/>
      <c r="D143" s="526" t="s">
        <v>277</v>
      </c>
      <c r="E143" s="506"/>
      <c r="F143" s="506"/>
      <c r="G143" s="506"/>
      <c r="H143" s="517">
        <v>2005</v>
      </c>
      <c r="I143" s="518">
        <v>2006</v>
      </c>
      <c r="J143" s="518">
        <v>2007</v>
      </c>
      <c r="K143" s="518">
        <v>2008</v>
      </c>
      <c r="L143" s="518">
        <v>2009</v>
      </c>
      <c r="M143" s="518">
        <v>2010</v>
      </c>
      <c r="N143" s="518">
        <v>2011</v>
      </c>
      <c r="O143" s="518">
        <v>2012</v>
      </c>
      <c r="P143" s="518">
        <v>2013</v>
      </c>
      <c r="Q143" s="518">
        <v>2014</v>
      </c>
      <c r="R143" s="518">
        <v>2015</v>
      </c>
      <c r="S143" s="518">
        <v>2016</v>
      </c>
      <c r="T143" s="518">
        <v>2017</v>
      </c>
      <c r="U143" s="518">
        <v>2018</v>
      </c>
      <c r="V143" s="518">
        <v>2019</v>
      </c>
      <c r="W143" s="518">
        <v>2020</v>
      </c>
      <c r="X143" s="518">
        <v>2021</v>
      </c>
      <c r="Y143" s="518">
        <v>2022</v>
      </c>
      <c r="Z143" s="518">
        <v>2023</v>
      </c>
      <c r="AA143" s="518"/>
      <c r="AB143" s="518"/>
      <c r="AC143" s="518"/>
      <c r="AD143" s="518"/>
      <c r="AE143" s="518"/>
      <c r="AF143" s="518"/>
      <c r="AG143" s="518"/>
    </row>
    <row r="144" spans="1:54" s="179" customFormat="1" ht="18.75" x14ac:dyDescent="0.25">
      <c r="A144" s="637"/>
      <c r="B144" s="218" t="s">
        <v>56</v>
      </c>
      <c r="C144" s="623"/>
      <c r="D144" s="623" t="str">
        <f>$D$3</f>
        <v>Söguleg losun | Historical Emissions</v>
      </c>
      <c r="E144" s="623"/>
      <c r="F144" s="623"/>
      <c r="G144" s="623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Z144" s="178"/>
    </row>
    <row r="145" spans="1:53" s="204" customFormat="1" ht="15" customHeight="1" x14ac:dyDescent="0.2">
      <c r="A145" s="216" t="s">
        <v>108</v>
      </c>
      <c r="B145" s="218" t="s">
        <v>56</v>
      </c>
      <c r="C145" s="158" t="s">
        <v>56</v>
      </c>
      <c r="D145" s="176" t="s">
        <v>7</v>
      </c>
      <c r="E145" s="22" t="str">
        <f>$E$28</f>
        <v>Road Transport</v>
      </c>
      <c r="G145" s="175" t="s">
        <v>332</v>
      </c>
      <c r="H145" s="176">
        <f t="shared" ref="H145" si="18">SUM(H146:H149)</f>
        <v>774.98717675893204</v>
      </c>
      <c r="I145" s="176">
        <f t="shared" ref="I145:Z145" si="19">SUM(I146:I149)</f>
        <v>883.45643465810895</v>
      </c>
      <c r="J145" s="176">
        <f t="shared" si="19"/>
        <v>914.96673008540438</v>
      </c>
      <c r="K145" s="176">
        <f t="shared" si="19"/>
        <v>861.23256083911201</v>
      </c>
      <c r="L145" s="176">
        <f t="shared" si="19"/>
        <v>862.03000676944737</v>
      </c>
      <c r="M145" s="176">
        <f t="shared" si="19"/>
        <v>814.50613831283817</v>
      </c>
      <c r="N145" s="176">
        <f t="shared" si="19"/>
        <v>796.11839555550409</v>
      </c>
      <c r="O145" s="176">
        <f t="shared" si="19"/>
        <v>790.6110668506775</v>
      </c>
      <c r="P145" s="176">
        <f t="shared" si="19"/>
        <v>805.08699020156052</v>
      </c>
      <c r="Q145" s="176">
        <f t="shared" si="19"/>
        <v>804.21870801816067</v>
      </c>
      <c r="R145" s="176">
        <f t="shared" si="19"/>
        <v>826.77387826647612</v>
      </c>
      <c r="S145" s="176">
        <f t="shared" si="19"/>
        <v>901.82935475513204</v>
      </c>
      <c r="T145" s="176">
        <f t="shared" si="19"/>
        <v>951.38401673442957</v>
      </c>
      <c r="U145" s="176">
        <f t="shared" si="19"/>
        <v>976.87494552460259</v>
      </c>
      <c r="V145" s="176">
        <f t="shared" si="19"/>
        <v>956.41207127039218</v>
      </c>
      <c r="W145" s="176">
        <f t="shared" si="19"/>
        <v>830.28702289015064</v>
      </c>
      <c r="X145" s="176">
        <f t="shared" si="19"/>
        <v>859.18959264190892</v>
      </c>
      <c r="Y145" s="176">
        <f t="shared" si="19"/>
        <v>926.01224577878793</v>
      </c>
      <c r="Z145" s="176">
        <f t="shared" si="19"/>
        <v>921.28481276391403</v>
      </c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</row>
    <row r="146" spans="1:53" s="200" customFormat="1" ht="15" customHeight="1" x14ac:dyDescent="0.2">
      <c r="A146" s="216" t="s">
        <v>103</v>
      </c>
      <c r="B146" s="218" t="s">
        <v>56</v>
      </c>
      <c r="C146" s="158" t="s">
        <v>56</v>
      </c>
      <c r="D146" s="201" t="s">
        <v>112</v>
      </c>
      <c r="E146" s="197" t="str">
        <f>$E$29</f>
        <v xml:space="preserve">   Cars</v>
      </c>
      <c r="G146" s="196" t="s">
        <v>334</v>
      </c>
      <c r="H146" s="201">
        <v>576.85850208753277</v>
      </c>
      <c r="I146" s="201">
        <v>586.69811922352642</v>
      </c>
      <c r="J146" s="201">
        <v>597.23508209158058</v>
      </c>
      <c r="K146" s="201">
        <v>586.58077216992103</v>
      </c>
      <c r="L146" s="201">
        <v>576.15370187279711</v>
      </c>
      <c r="M146" s="201">
        <v>577.06878019018598</v>
      </c>
      <c r="N146" s="201">
        <v>580.01429415689915</v>
      </c>
      <c r="O146" s="201">
        <v>562.35596902730788</v>
      </c>
      <c r="P146" s="201">
        <v>555.71005192786629</v>
      </c>
      <c r="Q146" s="201">
        <v>530.91971362937056</v>
      </c>
      <c r="R146" s="201">
        <v>526.91148253850452</v>
      </c>
      <c r="S146" s="201">
        <v>587.21370434556377</v>
      </c>
      <c r="T146" s="201">
        <v>656.76894708275597</v>
      </c>
      <c r="U146" s="201">
        <v>696.01047400240532</v>
      </c>
      <c r="V146" s="201">
        <v>653.73059753436735</v>
      </c>
      <c r="W146" s="201">
        <v>559.38917269096407</v>
      </c>
      <c r="X146" s="201">
        <v>545.4648620879492</v>
      </c>
      <c r="Y146" s="201">
        <v>579.69630083770664</v>
      </c>
      <c r="Z146" s="201">
        <v>569.60942306882748</v>
      </c>
    </row>
    <row r="147" spans="1:53" s="200" customFormat="1" ht="15" customHeight="1" x14ac:dyDescent="0.2">
      <c r="A147" s="216" t="s">
        <v>104</v>
      </c>
      <c r="B147" s="218" t="s">
        <v>56</v>
      </c>
      <c r="C147" s="158" t="s">
        <v>56</v>
      </c>
      <c r="D147" s="201" t="s">
        <v>113</v>
      </c>
      <c r="E147" s="197" t="str">
        <f>$E$30</f>
        <v xml:space="preserve">   Light Duty Trucks </v>
      </c>
      <c r="G147" s="196" t="s">
        <v>334</v>
      </c>
      <c r="H147" s="201">
        <v>52.805153533228363</v>
      </c>
      <c r="I147" s="201">
        <v>85.633151674394043</v>
      </c>
      <c r="J147" s="201">
        <v>99.876125290425989</v>
      </c>
      <c r="K147" s="201">
        <v>99.747027190230213</v>
      </c>
      <c r="L147" s="201">
        <v>88.54690313881899</v>
      </c>
      <c r="M147" s="201">
        <v>93.929651295026289</v>
      </c>
      <c r="N147" s="201">
        <v>99.823212050876052</v>
      </c>
      <c r="O147" s="201">
        <v>96.750303263618562</v>
      </c>
      <c r="P147" s="201">
        <v>92.766773071736353</v>
      </c>
      <c r="Q147" s="201">
        <v>80.542417823895846</v>
      </c>
      <c r="R147" s="201">
        <v>74.659881406766601</v>
      </c>
      <c r="S147" s="201">
        <v>87.462614741201463</v>
      </c>
      <c r="T147" s="201">
        <v>83.329900161205359</v>
      </c>
      <c r="U147" s="201">
        <v>71.329702165618016</v>
      </c>
      <c r="V147" s="201">
        <v>88.754022372725828</v>
      </c>
      <c r="W147" s="201">
        <v>87.180553984501827</v>
      </c>
      <c r="X147" s="201">
        <v>94.046149518822318</v>
      </c>
      <c r="Y147" s="201">
        <v>102.5033642652804</v>
      </c>
      <c r="Z147" s="201">
        <v>103.10058496714461</v>
      </c>
    </row>
    <row r="148" spans="1:53" s="200" customFormat="1" ht="15" customHeight="1" x14ac:dyDescent="0.2">
      <c r="A148" s="216" t="s">
        <v>105</v>
      </c>
      <c r="B148" s="218" t="s">
        <v>56</v>
      </c>
      <c r="C148" s="158" t="s">
        <v>56</v>
      </c>
      <c r="D148" s="201" t="s">
        <v>114</v>
      </c>
      <c r="E148" s="197" t="str">
        <f>$E$31</f>
        <v xml:space="preserve">   Heavy Duty Trucks and Buses </v>
      </c>
      <c r="G148" s="196" t="s">
        <v>334</v>
      </c>
      <c r="H148" s="201">
        <v>141.87587841738133</v>
      </c>
      <c r="I148" s="201">
        <v>205.34690825761092</v>
      </c>
      <c r="J148" s="201">
        <v>210.32836802812295</v>
      </c>
      <c r="K148" s="201">
        <v>166.15322707941306</v>
      </c>
      <c r="L148" s="201">
        <v>188.03610785883924</v>
      </c>
      <c r="M148" s="201">
        <v>134.11200111612618</v>
      </c>
      <c r="N148" s="201">
        <v>106.98519830335276</v>
      </c>
      <c r="O148" s="201">
        <v>122.01989510934096</v>
      </c>
      <c r="P148" s="201">
        <v>147.21046628322236</v>
      </c>
      <c r="Q148" s="201">
        <v>183.30581455505398</v>
      </c>
      <c r="R148" s="201">
        <v>215.54747962355907</v>
      </c>
      <c r="S148" s="201">
        <v>216.93405615980555</v>
      </c>
      <c r="T148" s="201">
        <v>206.69560556814713</v>
      </c>
      <c r="U148" s="201">
        <v>201.38470419601433</v>
      </c>
      <c r="V148" s="201">
        <v>212.26811271427925</v>
      </c>
      <c r="W148" s="201">
        <v>182.44884328011744</v>
      </c>
      <c r="X148" s="201">
        <v>218.56420203253555</v>
      </c>
      <c r="Y148" s="201">
        <v>242.60748565578882</v>
      </c>
      <c r="Z148" s="201">
        <v>247.35026408964649</v>
      </c>
    </row>
    <row r="149" spans="1:53" s="200" customFormat="1" ht="15" customHeight="1" x14ac:dyDescent="0.2">
      <c r="A149" s="216" t="s">
        <v>106</v>
      </c>
      <c r="B149" s="218" t="s">
        <v>56</v>
      </c>
      <c r="C149" s="158" t="s">
        <v>56</v>
      </c>
      <c r="D149" s="201" t="s">
        <v>115</v>
      </c>
      <c r="E149" s="197" t="str">
        <f>$E$32</f>
        <v xml:space="preserve">   Motorcycles</v>
      </c>
      <c r="G149" s="196" t="s">
        <v>334</v>
      </c>
      <c r="H149" s="201">
        <v>3.4476427207896054</v>
      </c>
      <c r="I149" s="201">
        <v>5.778255502577478</v>
      </c>
      <c r="J149" s="201">
        <v>7.527154675274903</v>
      </c>
      <c r="K149" s="201">
        <v>8.7515343995475661</v>
      </c>
      <c r="L149" s="201">
        <v>9.2932938989919904</v>
      </c>
      <c r="M149" s="201">
        <v>9.3957057114997156</v>
      </c>
      <c r="N149" s="201">
        <v>9.2956910443761824</v>
      </c>
      <c r="O149" s="201">
        <v>9.4848994504100865</v>
      </c>
      <c r="P149" s="201">
        <v>9.3996989187356128</v>
      </c>
      <c r="Q149" s="201">
        <v>9.4507620098401866</v>
      </c>
      <c r="R149" s="201">
        <v>9.6550346976459913</v>
      </c>
      <c r="S149" s="201">
        <v>10.218979508561217</v>
      </c>
      <c r="T149" s="201">
        <v>4.5895639223211173</v>
      </c>
      <c r="U149" s="201">
        <v>8.1500651605648446</v>
      </c>
      <c r="V149" s="201">
        <v>1.6593386490197766</v>
      </c>
      <c r="W149" s="201">
        <v>1.2684529345672912</v>
      </c>
      <c r="X149" s="201">
        <v>1.1143790026018725</v>
      </c>
      <c r="Y149" s="201">
        <v>1.2050950200120858</v>
      </c>
      <c r="Z149" s="201">
        <v>1.2245406382953721</v>
      </c>
    </row>
    <row r="150" spans="1:53" s="204" customFormat="1" ht="15" customHeight="1" x14ac:dyDescent="0.2">
      <c r="A150" s="216" t="s">
        <v>58</v>
      </c>
      <c r="B150" s="218" t="s">
        <v>56</v>
      </c>
      <c r="C150" s="158" t="s">
        <v>56</v>
      </c>
      <c r="D150" s="176" t="s">
        <v>6</v>
      </c>
      <c r="E150" s="22" t="str">
        <f>$E$27</f>
        <v>Fishing</v>
      </c>
      <c r="G150" s="175" t="s">
        <v>332</v>
      </c>
      <c r="H150" s="176">
        <v>742.27579695757936</v>
      </c>
      <c r="I150" s="176">
        <v>676.16624793131371</v>
      </c>
      <c r="J150" s="176">
        <v>768.90031104164586</v>
      </c>
      <c r="K150" s="176">
        <v>706.67813037021858</v>
      </c>
      <c r="L150" s="176">
        <v>762.70393720745039</v>
      </c>
      <c r="M150" s="176">
        <v>726.56824505484042</v>
      </c>
      <c r="N150" s="176">
        <v>657.20260984912954</v>
      </c>
      <c r="O150" s="176">
        <v>651.37378056662806</v>
      </c>
      <c r="P150" s="176">
        <v>614.72353826059737</v>
      </c>
      <c r="Q150" s="176">
        <v>606.24731041801465</v>
      </c>
      <c r="R150" s="176">
        <v>621.21740588116916</v>
      </c>
      <c r="S150" s="176">
        <v>518.76690503112491</v>
      </c>
      <c r="T150" s="176">
        <v>530.38142924834813</v>
      </c>
      <c r="U150" s="176">
        <v>546.90019133575004</v>
      </c>
      <c r="V150" s="176">
        <v>518.36261174209733</v>
      </c>
      <c r="W150" s="176">
        <v>509.49421478812258</v>
      </c>
      <c r="X150" s="176">
        <v>569.42147138918847</v>
      </c>
      <c r="Y150" s="176">
        <v>480.50043943615663</v>
      </c>
      <c r="Z150" s="176">
        <v>485.3352147538011</v>
      </c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</row>
    <row r="151" spans="1:53" s="204" customFormat="1" ht="15" customHeight="1" x14ac:dyDescent="0.25">
      <c r="A151" s="216" t="s">
        <v>52</v>
      </c>
      <c r="B151" s="218" t="s">
        <v>56</v>
      </c>
      <c r="C151" s="158" t="s">
        <v>56</v>
      </c>
      <c r="D151" s="176" t="s">
        <v>2</v>
      </c>
      <c r="E151" s="22" t="s">
        <v>157</v>
      </c>
      <c r="F151" s="150"/>
      <c r="G151" s="175" t="s">
        <v>332</v>
      </c>
      <c r="H151" s="176">
        <v>711.13298689212684</v>
      </c>
      <c r="I151" s="176">
        <v>738.21505271701574</v>
      </c>
      <c r="J151" s="176">
        <v>755.14040435119284</v>
      </c>
      <c r="K151" s="176">
        <v>770.84614180723759</v>
      </c>
      <c r="L151" s="176">
        <v>759.82612374837686</v>
      </c>
      <c r="M151" s="176">
        <v>748.93405050816432</v>
      </c>
      <c r="N151" s="176">
        <v>746.42173972245234</v>
      </c>
      <c r="O151" s="176">
        <v>739.03083173156972</v>
      </c>
      <c r="P151" s="176">
        <v>730.37249673113286</v>
      </c>
      <c r="Q151" s="176">
        <v>771.36872666527131</v>
      </c>
      <c r="R151" s="176">
        <v>762.36590004780226</v>
      </c>
      <c r="S151" s="176">
        <v>761.43509414604023</v>
      </c>
      <c r="T151" s="176">
        <v>763.8944545373156</v>
      </c>
      <c r="U151" s="176">
        <v>742.59364936108125</v>
      </c>
      <c r="V151" s="176">
        <v>726.79672276905148</v>
      </c>
      <c r="W151" s="176">
        <v>724.45092605517732</v>
      </c>
      <c r="X151" s="176">
        <v>727.6080579756449</v>
      </c>
      <c r="Y151" s="176">
        <v>713.28202290709578</v>
      </c>
      <c r="Z151" s="176">
        <v>693.89491902799296</v>
      </c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</row>
    <row r="152" spans="1:53" s="204" customFormat="1" ht="15" customHeight="1" x14ac:dyDescent="0.25">
      <c r="A152" s="216" t="s">
        <v>84</v>
      </c>
      <c r="B152" s="218" t="s">
        <v>56</v>
      </c>
      <c r="C152" s="158" t="s">
        <v>56</v>
      </c>
      <c r="D152" s="176" t="s">
        <v>26</v>
      </c>
      <c r="E152" s="22" t="s">
        <v>178</v>
      </c>
      <c r="F152" s="150"/>
      <c r="G152" s="175" t="s">
        <v>332</v>
      </c>
      <c r="H152" s="176">
        <v>283.88073703295896</v>
      </c>
      <c r="I152" s="176">
        <v>308.73464539352659</v>
      </c>
      <c r="J152" s="176">
        <v>308.02966803621149</v>
      </c>
      <c r="K152" s="176">
        <v>293.01549216116052</v>
      </c>
      <c r="L152" s="176">
        <v>283.75050344880202</v>
      </c>
      <c r="M152" s="176">
        <v>280.45500605778898</v>
      </c>
      <c r="N152" s="176">
        <v>259.9436503224897</v>
      </c>
      <c r="O152" s="176">
        <v>237.97107935754372</v>
      </c>
      <c r="P152" s="176">
        <v>238.18718205726799</v>
      </c>
      <c r="Q152" s="176">
        <v>236.75247745728154</v>
      </c>
      <c r="R152" s="176">
        <v>233.69345769894986</v>
      </c>
      <c r="S152" s="176">
        <v>230.92311140512251</v>
      </c>
      <c r="T152" s="176">
        <v>226.76234473413896</v>
      </c>
      <c r="U152" s="176">
        <v>226.65217521019284</v>
      </c>
      <c r="V152" s="176">
        <v>201.10888758887586</v>
      </c>
      <c r="W152" s="176">
        <v>229.1106888659962</v>
      </c>
      <c r="X152" s="176">
        <v>225.01508866447509</v>
      </c>
      <c r="Y152" s="176">
        <v>214.74507863588011</v>
      </c>
      <c r="Z152" s="176">
        <v>201.26070771553427</v>
      </c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</row>
    <row r="153" spans="1:53" s="204" customFormat="1" ht="15" customHeight="1" x14ac:dyDescent="0.25">
      <c r="A153" s="216" t="s">
        <v>68</v>
      </c>
      <c r="B153" s="218" t="s">
        <v>56</v>
      </c>
      <c r="C153" s="158" t="s">
        <v>56</v>
      </c>
      <c r="D153" s="176" t="s">
        <v>34</v>
      </c>
      <c r="E153" s="22" t="s">
        <v>174</v>
      </c>
      <c r="F153" s="150"/>
      <c r="G153" s="175" t="s">
        <v>332</v>
      </c>
      <c r="H153" s="176">
        <v>57.201241406144838</v>
      </c>
      <c r="I153" s="176">
        <v>66.268728117954964</v>
      </c>
      <c r="J153" s="176">
        <v>66.94139885551283</v>
      </c>
      <c r="K153" s="176">
        <v>65.619674949677176</v>
      </c>
      <c r="L153" s="176">
        <v>78.815684882158905</v>
      </c>
      <c r="M153" s="176">
        <v>106.63787846935243</v>
      </c>
      <c r="N153" s="176">
        <v>131.33347009246177</v>
      </c>
      <c r="O153" s="176">
        <v>136.5156278242512</v>
      </c>
      <c r="P153" s="176">
        <v>166.67301783528774</v>
      </c>
      <c r="Q153" s="176">
        <v>164.47973841133989</v>
      </c>
      <c r="R153" s="176">
        <v>156.82957565208963</v>
      </c>
      <c r="S153" s="176">
        <v>173.66618826618588</v>
      </c>
      <c r="T153" s="176">
        <v>164.60973006017312</v>
      </c>
      <c r="U153" s="176">
        <v>182.49465783600516</v>
      </c>
      <c r="V153" s="176">
        <v>194.40775708209762</v>
      </c>
      <c r="W153" s="176">
        <v>198.16685581224471</v>
      </c>
      <c r="X153" s="176">
        <v>162.47594201837697</v>
      </c>
      <c r="Y153" s="176">
        <v>133.26429206158915</v>
      </c>
      <c r="Z153" s="176">
        <v>124.61138001256812</v>
      </c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</row>
    <row r="154" spans="1:53" s="204" customFormat="1" ht="15" customHeight="1" x14ac:dyDescent="0.2">
      <c r="A154" s="216" t="s">
        <v>63</v>
      </c>
      <c r="B154" s="218" t="s">
        <v>56</v>
      </c>
      <c r="C154" s="158" t="s">
        <v>56</v>
      </c>
      <c r="D154" s="176" t="s">
        <v>11</v>
      </c>
      <c r="E154" s="22" t="s">
        <v>176</v>
      </c>
      <c r="G154" s="175" t="s">
        <v>332</v>
      </c>
      <c r="H154" s="176">
        <v>119.43739330616143</v>
      </c>
      <c r="I154" s="176">
        <v>129.4591322935857</v>
      </c>
      <c r="J154" s="176">
        <v>150.1365476380019</v>
      </c>
      <c r="K154" s="176">
        <v>188.79046841169912</v>
      </c>
      <c r="L154" s="176">
        <v>172.68275584137766</v>
      </c>
      <c r="M154" s="176">
        <v>194.76400000000001</v>
      </c>
      <c r="N154" s="176">
        <v>183.428</v>
      </c>
      <c r="O154" s="176">
        <v>175.14867999999998</v>
      </c>
      <c r="P154" s="176">
        <v>177.02600000000001</v>
      </c>
      <c r="Q154" s="176">
        <v>187.44652000000002</v>
      </c>
      <c r="R154" s="176">
        <v>167.55332000000001</v>
      </c>
      <c r="S154" s="176">
        <v>152.1463984264463</v>
      </c>
      <c r="T154" s="176">
        <v>149.39019999999999</v>
      </c>
      <c r="U154" s="176">
        <v>159.285</v>
      </c>
      <c r="V154" s="176">
        <v>166.61846041329147</v>
      </c>
      <c r="W154" s="176">
        <v>179.18884</v>
      </c>
      <c r="X154" s="176">
        <v>166.39276267328282</v>
      </c>
      <c r="Y154" s="176">
        <v>178.14378461355247</v>
      </c>
      <c r="Z154" s="176">
        <v>176.69460000000001</v>
      </c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</row>
    <row r="155" spans="1:53" s="204" customFormat="1" ht="15" customHeight="1" x14ac:dyDescent="0.2">
      <c r="A155" s="216" t="s">
        <v>109</v>
      </c>
      <c r="B155" s="218" t="s">
        <v>56</v>
      </c>
      <c r="C155" s="158" t="s">
        <v>56</v>
      </c>
      <c r="D155" s="176" t="s">
        <v>10</v>
      </c>
      <c r="E155" s="22" t="s">
        <v>177</v>
      </c>
      <c r="F155" s="204" t="s">
        <v>56</v>
      </c>
      <c r="G155" s="175" t="s">
        <v>332</v>
      </c>
      <c r="H155" s="176">
        <f t="shared" ref="H155" si="20">SUM(H156:H158)</f>
        <v>236.89254361749528</v>
      </c>
      <c r="I155" s="176">
        <f t="shared" ref="I155:Z155" si="21">SUM(I156:I158)</f>
        <v>214.30164332811569</v>
      </c>
      <c r="J155" s="176">
        <f t="shared" si="21"/>
        <v>215.83366248928385</v>
      </c>
      <c r="K155" s="176">
        <f t="shared" si="21"/>
        <v>208.96156893666625</v>
      </c>
      <c r="L155" s="176">
        <f t="shared" si="21"/>
        <v>145.57310735873384</v>
      </c>
      <c r="M155" s="176">
        <f t="shared" si="21"/>
        <v>116.66251837871671</v>
      </c>
      <c r="N155" s="176">
        <f t="shared" si="21"/>
        <v>106.724173287534</v>
      </c>
      <c r="O155" s="176">
        <f t="shared" si="21"/>
        <v>102.82225724651585</v>
      </c>
      <c r="P155" s="176">
        <f t="shared" si="21"/>
        <v>98.852644261966944</v>
      </c>
      <c r="Q155" s="176">
        <f t="shared" si="21"/>
        <v>117.37447230447313</v>
      </c>
      <c r="R155" s="176">
        <f t="shared" si="21"/>
        <v>116.13287890779706</v>
      </c>
      <c r="S155" s="176">
        <f t="shared" si="21"/>
        <v>134.94854641811298</v>
      </c>
      <c r="T155" s="176">
        <f t="shared" si="21"/>
        <v>138.05064207733514</v>
      </c>
      <c r="U155" s="176">
        <f t="shared" si="21"/>
        <v>109.98053877254956</v>
      </c>
      <c r="V155" s="176">
        <f t="shared" si="21"/>
        <v>86.903419069836744</v>
      </c>
      <c r="W155" s="176">
        <f t="shared" si="21"/>
        <v>63.052941906921838</v>
      </c>
      <c r="X155" s="176">
        <f t="shared" si="21"/>
        <v>60.294858741596478</v>
      </c>
      <c r="Y155" s="176">
        <f t="shared" si="21"/>
        <v>59.454653923532042</v>
      </c>
      <c r="Z155" s="176">
        <f t="shared" si="21"/>
        <v>74.887888616357046</v>
      </c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</row>
    <row r="156" spans="1:53" s="200" customFormat="1" ht="15" customHeight="1" x14ac:dyDescent="0.2">
      <c r="A156" s="216" t="s">
        <v>62</v>
      </c>
      <c r="B156" s="218" t="s">
        <v>56</v>
      </c>
      <c r="C156" s="158" t="s">
        <v>56</v>
      </c>
      <c r="D156" s="201" t="s">
        <v>145</v>
      </c>
      <c r="E156" s="197" t="str">
        <f>$E$36</f>
        <v xml:space="preserve">   In Constructions</v>
      </c>
      <c r="G156" s="196" t="s">
        <v>334</v>
      </c>
      <c r="H156" s="201">
        <v>121.24971166523579</v>
      </c>
      <c r="I156" s="201">
        <v>109.71523827568059</v>
      </c>
      <c r="J156" s="201">
        <v>110.2912464071069</v>
      </c>
      <c r="K156" s="201">
        <v>105.57763949310598</v>
      </c>
      <c r="L156" s="201">
        <v>72.746964846935626</v>
      </c>
      <c r="M156" s="201">
        <v>57.645534270846149</v>
      </c>
      <c r="N156" s="201">
        <v>49.470512032901482</v>
      </c>
      <c r="O156" s="201">
        <v>52.472194158781384</v>
      </c>
      <c r="P156" s="201">
        <v>50.44722147314608</v>
      </c>
      <c r="Q156" s="201">
        <v>59.849391469346777</v>
      </c>
      <c r="R156" s="201">
        <v>59.180363391230507</v>
      </c>
      <c r="S156" s="201">
        <v>69.035097471570651</v>
      </c>
      <c r="T156" s="201">
        <v>70.59979729994663</v>
      </c>
      <c r="U156" s="201">
        <v>56.258906652399084</v>
      </c>
      <c r="V156" s="201">
        <v>43.017854185028192</v>
      </c>
      <c r="W156" s="201">
        <v>22.41747971170841</v>
      </c>
      <c r="X156" s="201">
        <v>34.582046854338998</v>
      </c>
      <c r="Y156" s="201">
        <v>36.300129178331858</v>
      </c>
      <c r="Z156" s="201">
        <v>52.869222558500233</v>
      </c>
    </row>
    <row r="157" spans="1:53" s="200" customFormat="1" ht="15" customHeight="1" x14ac:dyDescent="0.2">
      <c r="A157" s="216" t="s">
        <v>95</v>
      </c>
      <c r="B157" s="218" t="s">
        <v>56</v>
      </c>
      <c r="C157" s="627"/>
      <c r="D157" s="201" t="s">
        <v>146</v>
      </c>
      <c r="E157" s="197" t="str">
        <f>$E$37</f>
        <v xml:space="preserve">   In Agriculture</v>
      </c>
      <c r="F157" s="201"/>
      <c r="G157" s="196" t="s">
        <v>334</v>
      </c>
      <c r="H157" s="201">
        <v>82.49008496612673</v>
      </c>
      <c r="I157" s="201">
        <v>74.642811130367662</v>
      </c>
      <c r="J157" s="201">
        <v>75.034688018567792</v>
      </c>
      <c r="K157" s="201">
        <v>71.827869383762405</v>
      </c>
      <c r="L157" s="201">
        <v>49.492103765324728</v>
      </c>
      <c r="M157" s="201">
        <v>39.218114044251834</v>
      </c>
      <c r="N157" s="201">
        <v>33.656383053336995</v>
      </c>
      <c r="O157" s="201">
        <v>35.698524104268088</v>
      </c>
      <c r="P157" s="201">
        <v>34.320869950719818</v>
      </c>
      <c r="Q157" s="201">
        <v>40.717469094756673</v>
      </c>
      <c r="R157" s="201">
        <v>40.262307740139128</v>
      </c>
      <c r="S157" s="201">
        <v>46.966800810194989</v>
      </c>
      <c r="T157" s="201">
        <v>48.031316511028812</v>
      </c>
      <c r="U157" s="201">
        <v>38.274746604518199</v>
      </c>
      <c r="V157" s="201">
        <v>18.88689647589538</v>
      </c>
      <c r="W157" s="201">
        <v>26.489524239840929</v>
      </c>
      <c r="X157" s="201">
        <v>22.59934835452195</v>
      </c>
      <c r="Y157" s="201">
        <v>21.946797513646029</v>
      </c>
      <c r="Z157" s="201">
        <v>21.942146035012623</v>
      </c>
    </row>
    <row r="158" spans="1:53" s="200" customFormat="1" ht="15" customHeight="1" x14ac:dyDescent="0.2">
      <c r="A158" s="216" t="s">
        <v>94</v>
      </c>
      <c r="B158" s="218" t="s">
        <v>56</v>
      </c>
      <c r="C158" s="627"/>
      <c r="D158" s="201" t="s">
        <v>147</v>
      </c>
      <c r="E158" s="197" t="str">
        <f>$E$38</f>
        <v xml:space="preserve">   Elsewhere</v>
      </c>
      <c r="F158" s="201"/>
      <c r="G158" s="196" t="s">
        <v>334</v>
      </c>
      <c r="H158" s="201">
        <v>33.152746986132755</v>
      </c>
      <c r="I158" s="201">
        <v>29.943593922067429</v>
      </c>
      <c r="J158" s="201">
        <v>30.507728063609161</v>
      </c>
      <c r="K158" s="201">
        <v>31.556060059797851</v>
      </c>
      <c r="L158" s="201">
        <v>23.334038746473478</v>
      </c>
      <c r="M158" s="201">
        <v>19.798870063618736</v>
      </c>
      <c r="N158" s="201">
        <v>23.597278201295516</v>
      </c>
      <c r="O158" s="201">
        <v>14.651538983466365</v>
      </c>
      <c r="P158" s="201">
        <v>14.08455283810105</v>
      </c>
      <c r="Q158" s="201">
        <v>16.807611740369673</v>
      </c>
      <c r="R158" s="201">
        <v>16.690207776427425</v>
      </c>
      <c r="S158" s="201">
        <v>18.946648136347324</v>
      </c>
      <c r="T158" s="201">
        <v>19.419528266359684</v>
      </c>
      <c r="U158" s="201">
        <v>15.446885515632275</v>
      </c>
      <c r="V158" s="201">
        <v>24.998668408913179</v>
      </c>
      <c r="W158" s="201">
        <v>14.145937955372496</v>
      </c>
      <c r="X158" s="201">
        <v>3.1134635327355329</v>
      </c>
      <c r="Y158" s="201">
        <v>1.2077272315541543</v>
      </c>
      <c r="Z158" s="201">
        <v>7.6520022844189489E-2</v>
      </c>
    </row>
    <row r="159" spans="1:53" s="204" customFormat="1" ht="15" customHeight="1" x14ac:dyDescent="0.2">
      <c r="A159" s="216" t="s">
        <v>110</v>
      </c>
      <c r="B159" s="218" t="s">
        <v>56</v>
      </c>
      <c r="C159" s="158"/>
      <c r="D159" s="176" t="s">
        <v>12</v>
      </c>
      <c r="E159" s="22" t="s">
        <v>175</v>
      </c>
      <c r="F159" s="176"/>
      <c r="G159" s="175" t="s">
        <v>332</v>
      </c>
      <c r="H159" s="176">
        <f t="shared" ref="H159" si="22">H160-SUM(H145,H150:H155)</f>
        <v>324.38136427342351</v>
      </c>
      <c r="I159" s="176">
        <f t="shared" ref="I159:Z159" si="23">I160-SUM(I145,I150:I155)</f>
        <v>368.46511019675927</v>
      </c>
      <c r="J159" s="176">
        <f t="shared" si="23"/>
        <v>376.21944265432649</v>
      </c>
      <c r="K159" s="176">
        <f t="shared" si="23"/>
        <v>321.82865872057255</v>
      </c>
      <c r="L159" s="176">
        <f t="shared" si="23"/>
        <v>220.44422569749622</v>
      </c>
      <c r="M159" s="176">
        <f t="shared" si="23"/>
        <v>183.37563546198226</v>
      </c>
      <c r="N159" s="176">
        <f t="shared" si="23"/>
        <v>180.91295175563755</v>
      </c>
      <c r="O159" s="176">
        <f t="shared" si="23"/>
        <v>145.37280446918339</v>
      </c>
      <c r="P159" s="176">
        <f t="shared" si="23"/>
        <v>136.68905205618512</v>
      </c>
      <c r="Q159" s="176">
        <f t="shared" si="23"/>
        <v>109.94897402419247</v>
      </c>
      <c r="R159" s="176">
        <f t="shared" si="23"/>
        <v>139.0506016209979</v>
      </c>
      <c r="S159" s="176">
        <f t="shared" si="23"/>
        <v>130.11755013705078</v>
      </c>
      <c r="T159" s="176">
        <f t="shared" si="23"/>
        <v>113.33545964808491</v>
      </c>
      <c r="U159" s="176">
        <f t="shared" si="23"/>
        <v>128.51091114945893</v>
      </c>
      <c r="V159" s="176">
        <f t="shared" si="23"/>
        <v>131.29781967015742</v>
      </c>
      <c r="W159" s="176">
        <f t="shared" si="23"/>
        <v>107.36426061561815</v>
      </c>
      <c r="X159" s="176">
        <f t="shared" si="23"/>
        <v>111.25534894944394</v>
      </c>
      <c r="Y159" s="176">
        <f t="shared" si="23"/>
        <v>178.46149735464815</v>
      </c>
      <c r="Z159" s="176">
        <f t="shared" si="23"/>
        <v>134.72209722585785</v>
      </c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</row>
    <row r="160" spans="1:53" s="205" customFormat="1" ht="15" customHeight="1" x14ac:dyDescent="0.25">
      <c r="A160" s="216" t="s">
        <v>298</v>
      </c>
      <c r="B160" s="218" t="s">
        <v>56</v>
      </c>
      <c r="C160" s="599"/>
      <c r="D160" s="198" t="s">
        <v>171</v>
      </c>
      <c r="E160" s="198"/>
      <c r="F160" s="198"/>
      <c r="G160" s="333" t="s">
        <v>333</v>
      </c>
      <c r="H160" s="198">
        <v>3250.1892402448225</v>
      </c>
      <c r="I160" s="198">
        <v>3385.0669946363805</v>
      </c>
      <c r="J160" s="198">
        <v>3556.1681651515801</v>
      </c>
      <c r="K160" s="198">
        <v>3416.9726961963438</v>
      </c>
      <c r="L160" s="198">
        <v>3285.8263449538435</v>
      </c>
      <c r="M160" s="198">
        <v>3171.9034722436836</v>
      </c>
      <c r="N160" s="198">
        <v>3062.0849905852087</v>
      </c>
      <c r="O160" s="198">
        <v>2978.8461280463689</v>
      </c>
      <c r="P160" s="198">
        <v>2967.610921403998</v>
      </c>
      <c r="Q160" s="198">
        <v>2997.8369272987338</v>
      </c>
      <c r="R160" s="198">
        <v>3023.617018075282</v>
      </c>
      <c r="S160" s="198">
        <v>3003.8331485852159</v>
      </c>
      <c r="T160" s="198">
        <v>3037.808277039825</v>
      </c>
      <c r="U160" s="198">
        <v>3073.2920691896402</v>
      </c>
      <c r="V160" s="198">
        <v>2981.9077496058003</v>
      </c>
      <c r="W160" s="198">
        <v>2841.1157509342306</v>
      </c>
      <c r="X160" s="198">
        <v>2881.6531230539176</v>
      </c>
      <c r="Y160" s="198">
        <v>2883.8640147112419</v>
      </c>
      <c r="Z160" s="198">
        <v>2812.6916201160252</v>
      </c>
      <c r="AA160" s="198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</row>
    <row r="161" spans="1:53" s="207" customFormat="1" x14ac:dyDescent="0.25">
      <c r="A161" s="651"/>
      <c r="B161" s="218"/>
      <c r="C161" s="158"/>
      <c r="D161" s="202"/>
      <c r="E161" s="202"/>
      <c r="F161" s="202"/>
      <c r="G161" s="158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</row>
    <row r="162" spans="1:53" s="345" customFormat="1" ht="37.5" customHeight="1" x14ac:dyDescent="0.45">
      <c r="A162" s="410"/>
      <c r="B162" s="411" t="s">
        <v>56</v>
      </c>
      <c r="D162" s="525" t="s">
        <v>256</v>
      </c>
      <c r="AI162" s="346"/>
      <c r="AJ162" s="346"/>
      <c r="AK162" s="346"/>
      <c r="AL162" s="346"/>
    </row>
    <row r="163" spans="1:53" s="285" customFormat="1" ht="22.5" customHeight="1" x14ac:dyDescent="0.25">
      <c r="A163" s="573"/>
      <c r="B163" s="574"/>
      <c r="D163" s="416"/>
      <c r="H163" s="523">
        <v>2005</v>
      </c>
      <c r="I163" s="524">
        <v>2006</v>
      </c>
      <c r="J163" s="524">
        <v>2007</v>
      </c>
      <c r="K163" s="524">
        <v>2008</v>
      </c>
      <c r="L163" s="524">
        <v>2009</v>
      </c>
      <c r="M163" s="524">
        <v>2010</v>
      </c>
      <c r="N163" s="524">
        <v>2011</v>
      </c>
      <c r="O163" s="524">
        <v>2012</v>
      </c>
      <c r="P163" s="524">
        <v>2013</v>
      </c>
      <c r="Q163" s="524">
        <v>2014</v>
      </c>
      <c r="R163" s="524">
        <v>2015</v>
      </c>
      <c r="S163" s="524">
        <v>2016</v>
      </c>
      <c r="T163" s="524">
        <v>2017</v>
      </c>
      <c r="U163" s="524">
        <v>2018</v>
      </c>
      <c r="V163" s="524">
        <v>2019</v>
      </c>
      <c r="W163" s="524">
        <v>2020</v>
      </c>
      <c r="X163" s="524">
        <v>2021</v>
      </c>
      <c r="Y163" s="524">
        <v>2022</v>
      </c>
      <c r="Z163" s="524">
        <v>2023</v>
      </c>
      <c r="AA163" s="524"/>
      <c r="AB163" s="524"/>
      <c r="AC163" s="524"/>
      <c r="AD163" s="524"/>
      <c r="AE163" s="524"/>
      <c r="AF163" s="524"/>
      <c r="AG163" s="524"/>
      <c r="AI163" s="286"/>
      <c r="AJ163" s="286"/>
      <c r="AK163" s="286"/>
      <c r="AL163" s="286"/>
    </row>
    <row r="164" spans="1:53" s="16" customFormat="1" x14ac:dyDescent="0.25">
      <c r="A164" s="637"/>
      <c r="B164" s="218"/>
      <c r="C164" s="622" t="s">
        <v>56</v>
      </c>
      <c r="D164" s="622" t="str">
        <f>$D$3</f>
        <v>Söguleg losun | Historical Emissions</v>
      </c>
      <c r="E164" s="622"/>
      <c r="F164" s="622"/>
      <c r="G164" s="622"/>
    </row>
    <row r="165" spans="1:53" s="191" customFormat="1" x14ac:dyDescent="0.2">
      <c r="A165" s="259" t="s">
        <v>100</v>
      </c>
      <c r="B165" s="218" t="s">
        <v>56</v>
      </c>
      <c r="C165" s="622" t="s">
        <v>56</v>
      </c>
      <c r="D165" s="176" t="s">
        <v>46</v>
      </c>
      <c r="E165" s="22" t="s">
        <v>229</v>
      </c>
      <c r="F165" s="198"/>
      <c r="G165" s="175" t="s">
        <v>332</v>
      </c>
      <c r="H165" s="176">
        <v>31.238484919299999</v>
      </c>
      <c r="I165" s="176">
        <v>25.512199570446668</v>
      </c>
      <c r="J165" s="176">
        <v>25.460353461473332</v>
      </c>
      <c r="K165" s="176">
        <v>25.08300522269333</v>
      </c>
      <c r="L165" s="176">
        <v>20.12935053244</v>
      </c>
      <c r="M165" s="176">
        <v>21.812472989966665</v>
      </c>
      <c r="N165" s="176">
        <v>22.110419334540001</v>
      </c>
      <c r="O165" s="176">
        <v>16.003616755494086</v>
      </c>
      <c r="P165" s="176">
        <v>11.370694227316061</v>
      </c>
      <c r="Q165" s="199">
        <v>7.989149136368459</v>
      </c>
      <c r="R165" s="199">
        <v>7.8797282683219994</v>
      </c>
      <c r="S165" s="176">
        <v>12.421143917972499</v>
      </c>
      <c r="T165" s="176">
        <v>10.9135797336974</v>
      </c>
      <c r="U165" s="176">
        <v>12.178335297197659</v>
      </c>
      <c r="V165" s="176">
        <v>10.857899999999999</v>
      </c>
      <c r="W165" s="199">
        <v>7.8790448188936626</v>
      </c>
      <c r="X165" s="176">
        <v>10.453638308901184</v>
      </c>
      <c r="Y165" s="199">
        <v>7.6184954038819539</v>
      </c>
      <c r="Z165" s="176">
        <v>5.5265801624558328</v>
      </c>
      <c r="AA165" s="613"/>
      <c r="AB165" s="615"/>
      <c r="AC165" s="613"/>
      <c r="AD165" s="615"/>
    </row>
    <row r="166" spans="1:53" s="191" customFormat="1" ht="15" customHeight="1" x14ac:dyDescent="0.2">
      <c r="A166" s="258" t="s">
        <v>101</v>
      </c>
      <c r="B166" s="218" t="s">
        <v>56</v>
      </c>
      <c r="C166" s="622" t="s">
        <v>56</v>
      </c>
      <c r="D166" s="176" t="s">
        <v>47</v>
      </c>
      <c r="E166" s="22" t="s">
        <v>195</v>
      </c>
      <c r="F166" s="198"/>
      <c r="G166" s="175" t="s">
        <v>332</v>
      </c>
      <c r="H166" s="176">
        <v>376.83593000640002</v>
      </c>
      <c r="I166" s="176">
        <v>378.67314290880006</v>
      </c>
      <c r="J166" s="176">
        <v>398.15671910400005</v>
      </c>
      <c r="K166" s="176">
        <v>349.27363032799997</v>
      </c>
      <c r="L166" s="176">
        <v>350.6137790624</v>
      </c>
      <c r="M166" s="176">
        <v>369.7000336512001</v>
      </c>
      <c r="N166" s="176">
        <v>377.47027440484715</v>
      </c>
      <c r="O166" s="176">
        <v>410.12313323066928</v>
      </c>
      <c r="P166" s="176">
        <v>406.15873991578883</v>
      </c>
      <c r="Q166" s="176">
        <v>368.42751117182405</v>
      </c>
      <c r="R166" s="176">
        <v>400.91750131306247</v>
      </c>
      <c r="S166" s="176">
        <v>405.16545580981278</v>
      </c>
      <c r="T166" s="176">
        <v>428.32083524965424</v>
      </c>
      <c r="U166" s="176">
        <v>452.2433647004662</v>
      </c>
      <c r="V166" s="176">
        <v>428.79341747368807</v>
      </c>
      <c r="W166" s="176">
        <v>415.30481108799324</v>
      </c>
      <c r="X166" s="176">
        <v>472.04519978932524</v>
      </c>
      <c r="Y166" s="176">
        <v>513.25851857568762</v>
      </c>
      <c r="Z166" s="176">
        <v>404.35243266231652</v>
      </c>
      <c r="AA166" s="613"/>
      <c r="AB166" s="615"/>
      <c r="AC166" s="613"/>
      <c r="AD166" s="615"/>
    </row>
    <row r="167" spans="1:53" s="191" customFormat="1" ht="15" customHeight="1" x14ac:dyDescent="0.2">
      <c r="A167" s="258" t="s">
        <v>102</v>
      </c>
      <c r="B167" s="218" t="s">
        <v>56</v>
      </c>
      <c r="C167" s="622" t="s">
        <v>56</v>
      </c>
      <c r="D167" s="176" t="s">
        <v>16</v>
      </c>
      <c r="E167" s="22" t="s">
        <v>194</v>
      </c>
      <c r="F167" s="198"/>
      <c r="G167" s="175" t="s">
        <v>332</v>
      </c>
      <c r="H167" s="176">
        <v>444.80851616708713</v>
      </c>
      <c r="I167" s="176">
        <v>869.57185988485026</v>
      </c>
      <c r="J167" s="176">
        <v>990.98126629758121</v>
      </c>
      <c r="K167" s="176">
        <v>1556.7584922170536</v>
      </c>
      <c r="L167" s="176">
        <v>1393.4018646112659</v>
      </c>
      <c r="M167" s="176">
        <v>1391.9209450624717</v>
      </c>
      <c r="N167" s="176">
        <v>1281.3105455922127</v>
      </c>
      <c r="O167" s="176">
        <v>1328.7342410906138</v>
      </c>
      <c r="P167" s="176">
        <v>1353.4714335748731</v>
      </c>
      <c r="Q167" s="176">
        <v>1368.5549133196287</v>
      </c>
      <c r="R167" s="176">
        <v>1392.8009611325194</v>
      </c>
      <c r="S167" s="176">
        <v>1354.081750028553</v>
      </c>
      <c r="T167" s="176">
        <v>1385.559079923195</v>
      </c>
      <c r="U167" s="176">
        <v>1382.5326490562106</v>
      </c>
      <c r="V167" s="176">
        <v>1348.3578754895577</v>
      </c>
      <c r="W167" s="176">
        <v>1328.849358132371</v>
      </c>
      <c r="X167" s="176">
        <v>1345.5222697586937</v>
      </c>
      <c r="Y167" s="176">
        <v>1354.2007303406649</v>
      </c>
      <c r="Z167" s="176">
        <v>1402.649641668688</v>
      </c>
      <c r="AA167" s="613"/>
      <c r="AB167" s="615"/>
      <c r="AC167" s="613"/>
      <c r="AD167" s="615"/>
    </row>
    <row r="168" spans="1:53" s="208" customFormat="1" ht="15" customHeight="1" x14ac:dyDescent="0.2">
      <c r="A168" s="258" t="s">
        <v>98</v>
      </c>
      <c r="B168" s="218" t="s">
        <v>56</v>
      </c>
      <c r="C168" s="622" t="s">
        <v>56</v>
      </c>
      <c r="D168" s="198" t="s">
        <v>171</v>
      </c>
      <c r="E168" s="198"/>
      <c r="F168" s="198"/>
      <c r="G168" s="333" t="s">
        <v>333</v>
      </c>
      <c r="H168" s="95">
        <v>852.8829310927872</v>
      </c>
      <c r="I168" s="95">
        <v>1273.7572023640969</v>
      </c>
      <c r="J168" s="95">
        <v>1414.5983388630546</v>
      </c>
      <c r="K168" s="95">
        <v>1931.1151277677468</v>
      </c>
      <c r="L168" s="95">
        <v>1764.1449942061058</v>
      </c>
      <c r="M168" s="95">
        <v>1783.4334517036384</v>
      </c>
      <c r="N168" s="95">
        <v>1680.8912393316</v>
      </c>
      <c r="O168" s="95">
        <v>1754.8609910767771</v>
      </c>
      <c r="P168" s="95">
        <v>1771.0008677179781</v>
      </c>
      <c r="Q168" s="95">
        <v>1744.9715736278213</v>
      </c>
      <c r="R168" s="95">
        <v>1801.5981907139039</v>
      </c>
      <c r="S168" s="95">
        <v>1771.6683497563383</v>
      </c>
      <c r="T168" s="95">
        <v>1824.7934949065466</v>
      </c>
      <c r="U168" s="95">
        <v>1846.9543490538745</v>
      </c>
      <c r="V168" s="95">
        <v>1788.0091929632458</v>
      </c>
      <c r="W168" s="95">
        <v>1752.0332140392577</v>
      </c>
      <c r="X168" s="95">
        <v>1828.02</v>
      </c>
      <c r="Y168" s="95">
        <v>1875.076</v>
      </c>
      <c r="Z168" s="95">
        <v>1812.53</v>
      </c>
      <c r="AA168" s="613"/>
      <c r="AB168" s="615"/>
      <c r="AC168" s="613"/>
      <c r="AD168" s="615"/>
    </row>
    <row r="169" spans="1:53" s="16" customFormat="1" x14ac:dyDescent="0.25">
      <c r="A169" s="216"/>
      <c r="B169" s="218"/>
      <c r="C169" s="218"/>
      <c r="D169" s="202"/>
      <c r="E169" s="202"/>
      <c r="F169" s="202"/>
      <c r="G169" s="599"/>
      <c r="H169" s="601"/>
      <c r="I169" s="601"/>
      <c r="J169" s="601"/>
      <c r="K169" s="601"/>
      <c r="L169" s="601"/>
      <c r="M169" s="601"/>
      <c r="N169" s="601"/>
      <c r="O169" s="601"/>
      <c r="P169" s="601"/>
      <c r="Q169" s="601"/>
      <c r="R169" s="601"/>
      <c r="S169" s="601"/>
      <c r="T169" s="601"/>
      <c r="U169" s="601"/>
      <c r="V169" s="601"/>
      <c r="W169" s="601"/>
      <c r="X169" s="650"/>
      <c r="Y169" s="601"/>
      <c r="Z169" s="601"/>
    </row>
    <row r="170" spans="1:53" s="195" customFormat="1" ht="37.9" customHeight="1" x14ac:dyDescent="0.25">
      <c r="A170" s="637"/>
      <c r="B170" s="218" t="s">
        <v>56</v>
      </c>
      <c r="C170" s="193"/>
      <c r="D170" s="529" t="s">
        <v>257</v>
      </c>
      <c r="E170" s="193"/>
      <c r="F170" s="193"/>
      <c r="G170" s="193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53" s="195" customFormat="1" ht="15" customHeight="1" x14ac:dyDescent="0.25">
      <c r="A171" s="637"/>
      <c r="B171" s="218"/>
      <c r="C171" s="193"/>
      <c r="D171" s="529"/>
      <c r="E171" s="193"/>
      <c r="F171" s="193"/>
      <c r="G171" s="193"/>
      <c r="H171" s="530">
        <v>2005</v>
      </c>
      <c r="I171" s="531">
        <v>2006</v>
      </c>
      <c r="J171" s="531">
        <v>2007</v>
      </c>
      <c r="K171" s="531">
        <v>2008</v>
      </c>
      <c r="L171" s="531">
        <v>2009</v>
      </c>
      <c r="M171" s="531">
        <v>2010</v>
      </c>
      <c r="N171" s="531">
        <v>2011</v>
      </c>
      <c r="O171" s="531">
        <v>2012</v>
      </c>
      <c r="P171" s="531">
        <v>2013</v>
      </c>
      <c r="Q171" s="531">
        <v>2014</v>
      </c>
      <c r="R171" s="531">
        <v>2015</v>
      </c>
      <c r="S171" s="531">
        <v>2016</v>
      </c>
      <c r="T171" s="531">
        <v>2017</v>
      </c>
      <c r="U171" s="531">
        <v>2018</v>
      </c>
      <c r="V171" s="531">
        <v>2019</v>
      </c>
      <c r="W171" s="531">
        <v>2020</v>
      </c>
      <c r="X171" s="531">
        <v>2021</v>
      </c>
      <c r="Y171" s="531">
        <v>2022</v>
      </c>
      <c r="Z171" s="531">
        <v>2023</v>
      </c>
    </row>
    <row r="172" spans="1:53" s="16" customFormat="1" ht="15" customHeight="1" x14ac:dyDescent="0.25">
      <c r="A172" s="637"/>
      <c r="B172" s="218" t="s">
        <v>56</v>
      </c>
      <c r="C172" s="218"/>
      <c r="D172" s="232" t="str">
        <f>$D$3</f>
        <v>Söguleg losun | Historical Emissions</v>
      </c>
    </row>
    <row r="173" spans="1:53" s="191" customFormat="1" ht="15" customHeight="1" x14ac:dyDescent="0.25">
      <c r="A173" s="637"/>
      <c r="B173" s="218"/>
      <c r="C173" s="218" t="s">
        <v>56</v>
      </c>
      <c r="D173" s="176" t="s">
        <v>116</v>
      </c>
      <c r="E173" s="109" t="s">
        <v>269</v>
      </c>
      <c r="F173" s="198"/>
      <c r="G173" s="175" t="s">
        <v>332</v>
      </c>
      <c r="H173" s="176">
        <f>W93</f>
        <v>-140.28204095274921</v>
      </c>
      <c r="I173" s="176">
        <f t="shared" ref="I173:Z173" si="24">X93</f>
        <v>-146.81774655664805</v>
      </c>
      <c r="J173" s="176">
        <f t="shared" si="24"/>
        <v>-264.47854572721633</v>
      </c>
      <c r="K173" s="176">
        <f t="shared" si="24"/>
        <v>-268.08746225872557</v>
      </c>
      <c r="L173" s="176">
        <f t="shared" si="24"/>
        <v>-280.87754917577922</v>
      </c>
      <c r="M173" s="176">
        <f t="shared" si="24"/>
        <v>-303.68840042964337</v>
      </c>
      <c r="N173" s="176">
        <f t="shared" si="24"/>
        <v>-330.84581677793614</v>
      </c>
      <c r="O173" s="176">
        <f t="shared" si="24"/>
        <v>-342.21432682575522</v>
      </c>
      <c r="P173" s="176">
        <f t="shared" si="24"/>
        <v>-359.91628608211477</v>
      </c>
      <c r="Q173" s="176">
        <f t="shared" si="24"/>
        <v>-383.52589373647049</v>
      </c>
      <c r="R173" s="176">
        <f t="shared" si="24"/>
        <v>-408.54263384940219</v>
      </c>
      <c r="S173" s="176">
        <f t="shared" si="24"/>
        <v>-432.62683889768022</v>
      </c>
      <c r="T173" s="176">
        <f t="shared" si="24"/>
        <v>-470.56708519521641</v>
      </c>
      <c r="U173" s="176">
        <f t="shared" si="24"/>
        <v>-500.12980413754889</v>
      </c>
      <c r="V173" s="176">
        <f t="shared" si="24"/>
        <v>-501.28650208770966</v>
      </c>
      <c r="W173" s="176">
        <f t="shared" si="24"/>
        <v>-504.69423725886224</v>
      </c>
      <c r="X173" s="176">
        <f t="shared" si="24"/>
        <v>-505.29940535846055</v>
      </c>
      <c r="Y173" s="176">
        <f t="shared" si="24"/>
        <v>-533.97896730846287</v>
      </c>
      <c r="Z173" s="176">
        <f t="shared" si="24"/>
        <v>-553.69612674802886</v>
      </c>
    </row>
    <row r="174" spans="1:53" s="191" customFormat="1" ht="15" customHeight="1" x14ac:dyDescent="0.25">
      <c r="A174" s="637"/>
      <c r="B174" s="218"/>
      <c r="C174" s="218" t="s">
        <v>56</v>
      </c>
      <c r="D174" s="176" t="s">
        <v>153</v>
      </c>
      <c r="E174" s="109" t="s">
        <v>187</v>
      </c>
      <c r="F174" s="198"/>
      <c r="G174" s="175" t="s">
        <v>332</v>
      </c>
      <c r="H174" s="176">
        <f>W94</f>
        <v>1571.4453677919994</v>
      </c>
      <c r="I174" s="176">
        <f t="shared" ref="I174:Z177" si="25">X94</f>
        <v>1574.2595245919506</v>
      </c>
      <c r="J174" s="176">
        <f t="shared" si="25"/>
        <v>1577.1669283586184</v>
      </c>
      <c r="K174" s="176">
        <f t="shared" si="25"/>
        <v>1580.1988035712636</v>
      </c>
      <c r="L174" s="176">
        <f t="shared" si="25"/>
        <v>1658.828973966057</v>
      </c>
      <c r="M174" s="176">
        <f t="shared" si="25"/>
        <v>1678.66639592365</v>
      </c>
      <c r="N174" s="176">
        <f t="shared" si="25"/>
        <v>1698.4919484533557</v>
      </c>
      <c r="O174" s="176">
        <f t="shared" si="25"/>
        <v>1718.3058299023298</v>
      </c>
      <c r="P174" s="176">
        <f t="shared" si="25"/>
        <v>1738.1082336870991</v>
      </c>
      <c r="Q174" s="176">
        <f t="shared" si="25"/>
        <v>1757.8993484556815</v>
      </c>
      <c r="R174" s="176">
        <f t="shared" si="25"/>
        <v>1777.5720475426147</v>
      </c>
      <c r="S174" s="176">
        <f t="shared" si="25"/>
        <v>1797.4499285215136</v>
      </c>
      <c r="T174" s="176">
        <f t="shared" si="25"/>
        <v>1817.2097357570892</v>
      </c>
      <c r="U174" s="176">
        <f t="shared" si="25"/>
        <v>1836.9574800252271</v>
      </c>
      <c r="V174" s="176">
        <f t="shared" si="25"/>
        <v>1856.6955454869258</v>
      </c>
      <c r="W174" s="176">
        <f t="shared" si="25"/>
        <v>1876.4685106677164</v>
      </c>
      <c r="X174" s="176">
        <f t="shared" si="25"/>
        <v>1896.1410718627703</v>
      </c>
      <c r="Y174" s="176">
        <f t="shared" si="25"/>
        <v>1915.8488478457277</v>
      </c>
      <c r="Z174" s="176">
        <f t="shared" si="25"/>
        <v>1935.5468363725449</v>
      </c>
    </row>
    <row r="175" spans="1:53" s="191" customFormat="1" ht="15" customHeight="1" x14ac:dyDescent="0.25">
      <c r="A175" s="637"/>
      <c r="B175" s="218"/>
      <c r="C175" s="218" t="s">
        <v>56</v>
      </c>
      <c r="D175" s="176" t="s">
        <v>30</v>
      </c>
      <c r="E175" s="109" t="s">
        <v>188</v>
      </c>
      <c r="F175" s="198"/>
      <c r="G175" s="175" t="s">
        <v>332</v>
      </c>
      <c r="H175" s="176">
        <f t="shared" ref="H175:H177" si="26">W95</f>
        <v>5825.8081099504898</v>
      </c>
      <c r="I175" s="176">
        <f t="shared" si="25"/>
        <v>5877.1648369491149</v>
      </c>
      <c r="J175" s="176">
        <f t="shared" si="25"/>
        <v>5896.3566794985682</v>
      </c>
      <c r="K175" s="176">
        <f t="shared" si="25"/>
        <v>5938.3816373860582</v>
      </c>
      <c r="L175" s="176">
        <f t="shared" si="25"/>
        <v>5937.8911371259546</v>
      </c>
      <c r="M175" s="176">
        <f t="shared" si="25"/>
        <v>5933.8823691363159</v>
      </c>
      <c r="N175" s="176">
        <f t="shared" si="25"/>
        <v>5929.7636695499195</v>
      </c>
      <c r="O175" s="176">
        <f t="shared" si="25"/>
        <v>5930.0471828209884</v>
      </c>
      <c r="P175" s="176">
        <f t="shared" si="25"/>
        <v>5932.8278027380784</v>
      </c>
      <c r="Q175" s="176">
        <f t="shared" si="25"/>
        <v>5934.0786620233857</v>
      </c>
      <c r="R175" s="176">
        <f t="shared" si="25"/>
        <v>5934.6092088359646</v>
      </c>
      <c r="S175" s="176">
        <f t="shared" si="25"/>
        <v>5927.0363320723864</v>
      </c>
      <c r="T175" s="176">
        <f t="shared" si="25"/>
        <v>5922.0765948472736</v>
      </c>
      <c r="U175" s="176">
        <f t="shared" si="25"/>
        <v>5924.0714656107548</v>
      </c>
      <c r="V175" s="176">
        <f t="shared" si="25"/>
        <v>5923.062466284211</v>
      </c>
      <c r="W175" s="176">
        <f t="shared" si="25"/>
        <v>5919.1495275848802</v>
      </c>
      <c r="X175" s="176">
        <f t="shared" si="25"/>
        <v>5908.9786381600179</v>
      </c>
      <c r="Y175" s="176">
        <f t="shared" si="25"/>
        <v>5906.8369407015125</v>
      </c>
      <c r="Z175" s="176">
        <f t="shared" si="25"/>
        <v>5915.6518862431958</v>
      </c>
    </row>
    <row r="176" spans="1:53" s="191" customFormat="1" ht="15" customHeight="1" x14ac:dyDescent="0.25">
      <c r="A176" s="637"/>
      <c r="B176" s="218"/>
      <c r="C176" s="218" t="s">
        <v>56</v>
      </c>
      <c r="D176" s="176" t="s">
        <v>31</v>
      </c>
      <c r="E176" s="109" t="s">
        <v>189</v>
      </c>
      <c r="F176" s="198"/>
      <c r="G176" s="175" t="s">
        <v>332</v>
      </c>
      <c r="H176" s="176">
        <f t="shared" si="26"/>
        <v>783.72410252752411</v>
      </c>
      <c r="I176" s="176">
        <f t="shared" si="25"/>
        <v>776.9517998380677</v>
      </c>
      <c r="J176" s="176">
        <f t="shared" si="25"/>
        <v>766.73221880975109</v>
      </c>
      <c r="K176" s="176">
        <f t="shared" si="25"/>
        <v>758.52420669962976</v>
      </c>
      <c r="L176" s="176">
        <f t="shared" si="25"/>
        <v>755.26785848116958</v>
      </c>
      <c r="M176" s="176">
        <f t="shared" si="25"/>
        <v>751.64964809838466</v>
      </c>
      <c r="N176" s="176">
        <f t="shared" si="25"/>
        <v>742.43060454743045</v>
      </c>
      <c r="O176" s="176">
        <f t="shared" si="25"/>
        <v>738.72076540891328</v>
      </c>
      <c r="P176" s="176">
        <f t="shared" si="25"/>
        <v>735.05413361372712</v>
      </c>
      <c r="Q176" s="176">
        <f t="shared" si="25"/>
        <v>731.57276454402029</v>
      </c>
      <c r="R176" s="176">
        <f t="shared" si="25"/>
        <v>727.9762376366366</v>
      </c>
      <c r="S176" s="176">
        <f t="shared" si="25"/>
        <v>722.77572079386709</v>
      </c>
      <c r="T176" s="176">
        <f t="shared" si="25"/>
        <v>719.16023291066654</v>
      </c>
      <c r="U176" s="176">
        <f t="shared" si="25"/>
        <v>715.34751279198474</v>
      </c>
      <c r="V176" s="176">
        <f t="shared" si="25"/>
        <v>712.08566878680199</v>
      </c>
      <c r="W176" s="176">
        <f t="shared" si="25"/>
        <v>709.37970774921496</v>
      </c>
      <c r="X176" s="176">
        <f t="shared" si="25"/>
        <v>706.0752248050967</v>
      </c>
      <c r="Y176" s="176">
        <f t="shared" si="25"/>
        <v>702.67569267657655</v>
      </c>
      <c r="Z176" s="176">
        <f t="shared" si="25"/>
        <v>698.9675492047254</v>
      </c>
    </row>
    <row r="177" spans="1:38" s="191" customFormat="1" ht="15" customHeight="1" x14ac:dyDescent="0.25">
      <c r="A177" s="637"/>
      <c r="B177" s="218"/>
      <c r="C177" s="218" t="s">
        <v>56</v>
      </c>
      <c r="D177" s="176" t="s">
        <v>12</v>
      </c>
      <c r="E177" s="109" t="s">
        <v>175</v>
      </c>
      <c r="F177" s="198"/>
      <c r="G177" s="175" t="s">
        <v>332</v>
      </c>
      <c r="H177" s="176">
        <f t="shared" si="26"/>
        <v>53.619968467329272</v>
      </c>
      <c r="I177" s="176">
        <f t="shared" si="25"/>
        <v>56.212315972244141</v>
      </c>
      <c r="J177" s="176">
        <f t="shared" si="25"/>
        <v>57.286552350645252</v>
      </c>
      <c r="K177" s="176">
        <f t="shared" si="25"/>
        <v>59.27333744976022</v>
      </c>
      <c r="L177" s="176">
        <f t="shared" si="25"/>
        <v>58.88231917435769</v>
      </c>
      <c r="M177" s="176">
        <f t="shared" si="25"/>
        <v>42.462362886234587</v>
      </c>
      <c r="N177" s="176">
        <f t="shared" si="25"/>
        <v>40.550693512642283</v>
      </c>
      <c r="O177" s="176">
        <f t="shared" si="25"/>
        <v>38.704472487191197</v>
      </c>
      <c r="P177" s="176">
        <f t="shared" si="25"/>
        <v>36.845406343756622</v>
      </c>
      <c r="Q177" s="176">
        <f t="shared" si="25"/>
        <v>34.91663039451214</v>
      </c>
      <c r="R177" s="176">
        <f t="shared" si="25"/>
        <v>33.158475465753327</v>
      </c>
      <c r="S177" s="176">
        <f t="shared" si="25"/>
        <v>31.235592363218529</v>
      </c>
      <c r="T177" s="176">
        <f t="shared" si="25"/>
        <v>29.309890347275541</v>
      </c>
      <c r="U177" s="176">
        <f t="shared" si="25"/>
        <v>27.535732836779061</v>
      </c>
      <c r="V177" s="176">
        <f t="shared" si="25"/>
        <v>25.72160497015193</v>
      </c>
      <c r="W177" s="176">
        <f t="shared" si="25"/>
        <v>50.47553797148521</v>
      </c>
      <c r="X177" s="176">
        <f t="shared" si="25"/>
        <v>51.845366654707504</v>
      </c>
      <c r="Y177" s="176">
        <f t="shared" si="25"/>
        <v>52.1688112326583</v>
      </c>
      <c r="Z177" s="176">
        <f t="shared" si="25"/>
        <v>46.166936384584915</v>
      </c>
    </row>
    <row r="178" spans="1:38" s="191" customFormat="1" ht="15" customHeight="1" x14ac:dyDescent="0.25">
      <c r="A178" s="637"/>
      <c r="B178" s="218"/>
      <c r="C178" s="218" t="s">
        <v>56</v>
      </c>
      <c r="D178" s="198" t="s">
        <v>171</v>
      </c>
      <c r="E178" s="198"/>
      <c r="F178" s="198"/>
      <c r="G178" s="333" t="s">
        <v>333</v>
      </c>
      <c r="H178" s="198">
        <f>W98</f>
        <v>8094.3155077845931</v>
      </c>
      <c r="I178" s="198">
        <f t="shared" ref="I178:Z178" si="27">X98</f>
        <v>8137.7707307947294</v>
      </c>
      <c r="J178" s="198">
        <f t="shared" si="27"/>
        <v>8033.0638332903663</v>
      </c>
      <c r="K178" s="198">
        <f t="shared" si="27"/>
        <v>8068.2905228479858</v>
      </c>
      <c r="L178" s="198">
        <f t="shared" si="27"/>
        <v>8129.9927395717596</v>
      </c>
      <c r="M178" s="198">
        <f t="shared" si="27"/>
        <v>8102.9723756149424</v>
      </c>
      <c r="N178" s="198">
        <f t="shared" si="27"/>
        <v>8080.3910992854117</v>
      </c>
      <c r="O178" s="198">
        <f t="shared" si="27"/>
        <v>8083.5639237936675</v>
      </c>
      <c r="P178" s="198">
        <f t="shared" si="27"/>
        <v>8082.919290300546</v>
      </c>
      <c r="Q178" s="198">
        <f t="shared" si="27"/>
        <v>8074.9415116811297</v>
      </c>
      <c r="R178" s="198">
        <f t="shared" si="27"/>
        <v>8064.7733356315666</v>
      </c>
      <c r="S178" s="198">
        <f t="shared" si="27"/>
        <v>8045.8707348533044</v>
      </c>
      <c r="T178" s="198">
        <f t="shared" si="27"/>
        <v>8017.1893686670883</v>
      </c>
      <c r="U178" s="198">
        <f t="shared" si="27"/>
        <v>8003.7823871271967</v>
      </c>
      <c r="V178" s="198">
        <f t="shared" si="27"/>
        <v>8016.2787834403807</v>
      </c>
      <c r="W178" s="198">
        <f t="shared" si="27"/>
        <v>8050.7790467144341</v>
      </c>
      <c r="X178" s="198">
        <f t="shared" si="27"/>
        <v>8057.7408961241317</v>
      </c>
      <c r="Y178" s="198">
        <f t="shared" si="27"/>
        <v>8043.5513251480124</v>
      </c>
      <c r="Z178" s="198">
        <f t="shared" si="27"/>
        <v>8042.6370814570228</v>
      </c>
    </row>
    <row r="179" spans="1:38" s="16" customFormat="1" ht="15" customHeight="1" x14ac:dyDescent="0.25">
      <c r="A179" s="637"/>
      <c r="B179" s="216"/>
      <c r="C179" s="216"/>
    </row>
    <row r="180" spans="1:38" s="16" customFormat="1" ht="15" customHeight="1" x14ac:dyDescent="0.25">
      <c r="A180" s="637"/>
      <c r="B180" s="216"/>
      <c r="C180" s="216"/>
    </row>
    <row r="181" spans="1:38" s="41" customFormat="1" ht="15.75" thickBot="1" x14ac:dyDescent="0.3">
      <c r="A181" s="643"/>
      <c r="B181" s="257"/>
      <c r="C181" s="257"/>
    </row>
    <row r="182" spans="1:38" s="16" customFormat="1" ht="15.75" thickTop="1" x14ac:dyDescent="0.25">
      <c r="A182" s="637"/>
      <c r="B182" s="216"/>
    </row>
    <row r="183" spans="1:38" s="364" customFormat="1" ht="37.5" customHeight="1" x14ac:dyDescent="0.45">
      <c r="A183" s="410"/>
      <c r="B183" s="411" t="s">
        <v>56</v>
      </c>
      <c r="C183" s="664"/>
      <c r="D183" s="494" t="s">
        <v>315</v>
      </c>
      <c r="AI183" s="365"/>
      <c r="AJ183" s="365"/>
      <c r="AK183" s="365"/>
      <c r="AL183" s="365"/>
    </row>
    <row r="184" spans="1:38" s="667" customFormat="1" ht="37.5" customHeight="1" x14ac:dyDescent="0.25">
      <c r="A184" s="573"/>
      <c r="B184" s="574"/>
      <c r="C184" s="665"/>
      <c r="D184" s="837" t="s">
        <v>316</v>
      </c>
      <c r="E184" s="837"/>
      <c r="F184" s="837"/>
      <c r="G184" s="837"/>
      <c r="H184" s="495">
        <v>2005</v>
      </c>
      <c r="I184" s="666">
        <v>2006</v>
      </c>
      <c r="J184" s="666">
        <v>2007</v>
      </c>
      <c r="K184" s="666">
        <v>2008</v>
      </c>
      <c r="L184" s="666">
        <v>2009</v>
      </c>
      <c r="M184" s="666">
        <v>2010</v>
      </c>
      <c r="N184" s="666">
        <v>2011</v>
      </c>
      <c r="O184" s="666">
        <v>2012</v>
      </c>
      <c r="P184" s="666">
        <v>2013</v>
      </c>
      <c r="Q184" s="666">
        <v>2014</v>
      </c>
      <c r="R184" s="666">
        <v>2015</v>
      </c>
      <c r="S184" s="666">
        <v>2016</v>
      </c>
      <c r="T184" s="666">
        <v>2017</v>
      </c>
      <c r="U184" s="666">
        <v>2018</v>
      </c>
      <c r="V184" s="666">
        <v>2019</v>
      </c>
      <c r="W184" s="666">
        <v>2020</v>
      </c>
      <c r="X184" s="666">
        <v>2021</v>
      </c>
      <c r="Y184" s="666">
        <v>2022</v>
      </c>
      <c r="Z184" s="666">
        <v>2023</v>
      </c>
      <c r="AI184" s="668"/>
      <c r="AJ184" s="668"/>
      <c r="AK184" s="668"/>
      <c r="AL184" s="668"/>
    </row>
    <row r="185" spans="1:38" s="16" customFormat="1" x14ac:dyDescent="0.25">
      <c r="A185" s="216"/>
      <c r="B185" s="218" t="s">
        <v>56</v>
      </c>
      <c r="C185" s="218"/>
      <c r="D185" s="669" t="str">
        <f>$D$4</f>
        <v>Orka</v>
      </c>
    </row>
    <row r="186" spans="1:38" s="191" customFormat="1" ht="15" customHeight="1" x14ac:dyDescent="0.25">
      <c r="A186" s="216" t="s">
        <v>317</v>
      </c>
      <c r="B186" s="218" t="s">
        <v>56</v>
      </c>
      <c r="C186" s="218"/>
      <c r="D186" s="176" t="s">
        <v>318</v>
      </c>
      <c r="E186" s="198"/>
      <c r="F186" s="198"/>
      <c r="G186" s="175" t="s">
        <v>335</v>
      </c>
      <c r="H186" s="670"/>
      <c r="I186" s="670"/>
      <c r="J186" s="670"/>
      <c r="K186" s="670"/>
      <c r="L186" s="670"/>
      <c r="M186" s="670"/>
      <c r="N186" s="670"/>
      <c r="O186" s="670"/>
      <c r="P186" s="176"/>
      <c r="Q186" s="176"/>
      <c r="R186" s="176"/>
      <c r="S186" s="176">
        <v>5493</v>
      </c>
      <c r="T186" s="176">
        <v>2005</v>
      </c>
      <c r="U186" s="176">
        <v>4122</v>
      </c>
      <c r="V186" s="176">
        <v>4922</v>
      </c>
      <c r="W186" s="176">
        <v>10419</v>
      </c>
      <c r="X186" s="176">
        <v>5104</v>
      </c>
      <c r="Y186" s="176">
        <v>8456</v>
      </c>
      <c r="Z186" s="176">
        <v>8731</v>
      </c>
    </row>
    <row r="187" spans="1:38" s="191" customFormat="1" ht="14.25" x14ac:dyDescent="0.25">
      <c r="A187" s="216" t="s">
        <v>319</v>
      </c>
      <c r="B187" s="218" t="s">
        <v>56</v>
      </c>
      <c r="C187" s="218"/>
      <c r="D187" s="176" t="s">
        <v>320</v>
      </c>
      <c r="E187" s="198"/>
      <c r="F187" s="198"/>
      <c r="G187" s="175" t="s">
        <v>335</v>
      </c>
      <c r="H187" s="670"/>
      <c r="I187" s="670"/>
      <c r="J187" s="670"/>
      <c r="K187" s="670"/>
      <c r="L187" s="670"/>
      <c r="M187" s="670"/>
      <c r="N187" s="670"/>
      <c r="O187" s="670"/>
      <c r="P187" s="176"/>
      <c r="Q187" s="176">
        <v>12667</v>
      </c>
      <c r="R187" s="176">
        <v>11704</v>
      </c>
      <c r="S187" s="176">
        <v>12496</v>
      </c>
      <c r="T187" s="176">
        <v>16402</v>
      </c>
      <c r="U187" s="176">
        <v>21862</v>
      </c>
      <c r="V187" s="176">
        <v>11720</v>
      </c>
      <c r="W187" s="176">
        <v>12047</v>
      </c>
      <c r="X187" s="176">
        <v>37144</v>
      </c>
      <c r="Y187" s="176">
        <v>66212</v>
      </c>
      <c r="Z187" s="176">
        <v>38177</v>
      </c>
    </row>
    <row r="188" spans="1:38" s="191" customFormat="1" ht="14.25" x14ac:dyDescent="0.25">
      <c r="A188" s="216" t="s">
        <v>321</v>
      </c>
      <c r="B188" s="218" t="s">
        <v>56</v>
      </c>
      <c r="C188" s="218"/>
      <c r="D188" s="176" t="s">
        <v>322</v>
      </c>
      <c r="E188" s="198"/>
      <c r="F188" s="198"/>
      <c r="G188" s="175" t="s">
        <v>335</v>
      </c>
      <c r="H188" s="670"/>
      <c r="I188" s="670"/>
      <c r="J188" s="670"/>
      <c r="K188" s="670"/>
      <c r="L188" s="670"/>
      <c r="M188" s="670"/>
      <c r="N188" s="670"/>
      <c r="O188" s="670"/>
      <c r="P188" s="176">
        <v>13324</v>
      </c>
      <c r="Q188" s="176">
        <v>12659</v>
      </c>
      <c r="R188" s="176">
        <v>12514</v>
      </c>
      <c r="S188" s="176">
        <v>14699</v>
      </c>
      <c r="T188" s="176">
        <v>17854</v>
      </c>
      <c r="U188" s="176">
        <v>14955</v>
      </c>
      <c r="V188" s="176">
        <v>11850</v>
      </c>
      <c r="W188" s="176"/>
      <c r="X188" s="176"/>
      <c r="Y188" s="176"/>
      <c r="Z188" s="176"/>
    </row>
    <row r="189" spans="1:38" s="191" customFormat="1" ht="14.25" x14ac:dyDescent="0.25">
      <c r="A189" s="216" t="s">
        <v>323</v>
      </c>
      <c r="B189" s="218" t="s">
        <v>56</v>
      </c>
      <c r="C189" s="218"/>
      <c r="D189" s="176" t="s">
        <v>324</v>
      </c>
      <c r="E189" s="198"/>
      <c r="F189" s="198"/>
      <c r="G189" s="175" t="s">
        <v>335</v>
      </c>
      <c r="H189" s="670"/>
      <c r="I189" s="670"/>
      <c r="J189" s="670"/>
      <c r="K189" s="670"/>
      <c r="L189" s="670"/>
      <c r="M189" s="670"/>
      <c r="N189" s="670"/>
      <c r="O189" s="670"/>
      <c r="P189" s="176"/>
      <c r="Q189" s="176"/>
      <c r="R189" s="176"/>
      <c r="S189" s="176"/>
      <c r="T189" s="176"/>
      <c r="U189" s="176"/>
      <c r="V189" s="176"/>
      <c r="W189" s="176"/>
      <c r="X189" s="176">
        <v>18369</v>
      </c>
      <c r="Y189" s="176">
        <v>78709</v>
      </c>
      <c r="Z189" s="176">
        <v>130473</v>
      </c>
    </row>
    <row r="190" spans="1:38" s="191" customFormat="1" ht="14.25" x14ac:dyDescent="0.25">
      <c r="A190" s="216" t="s">
        <v>325</v>
      </c>
      <c r="B190" s="218" t="s">
        <v>56</v>
      </c>
      <c r="C190" s="218"/>
      <c r="D190" s="176" t="s">
        <v>326</v>
      </c>
      <c r="E190" s="198"/>
      <c r="F190" s="198"/>
      <c r="G190" s="175" t="s">
        <v>335</v>
      </c>
      <c r="H190" s="670"/>
      <c r="I190" s="670"/>
      <c r="J190" s="670"/>
      <c r="K190" s="670"/>
      <c r="L190" s="670"/>
      <c r="M190" s="670"/>
      <c r="N190" s="670"/>
      <c r="O190" s="670"/>
      <c r="P190" s="176">
        <v>350850</v>
      </c>
      <c r="Q190" s="176">
        <v>381604</v>
      </c>
      <c r="R190" s="176">
        <v>425528</v>
      </c>
      <c r="S190" s="176">
        <v>503641</v>
      </c>
      <c r="T190" s="176">
        <v>527422</v>
      </c>
      <c r="U190" s="176">
        <v>501307</v>
      </c>
      <c r="V190" s="176">
        <v>567632</v>
      </c>
      <c r="W190" s="176">
        <v>167534</v>
      </c>
      <c r="X190" s="176">
        <v>205173</v>
      </c>
      <c r="Y190" s="176">
        <v>382823</v>
      </c>
      <c r="Z190" s="176">
        <v>432648</v>
      </c>
    </row>
    <row r="191" spans="1:38" s="191" customFormat="1" ht="14.25" x14ac:dyDescent="0.25">
      <c r="A191" s="216" t="s">
        <v>327</v>
      </c>
      <c r="B191" s="218" t="s">
        <v>56</v>
      </c>
      <c r="C191" s="218"/>
      <c r="D191" s="176" t="s">
        <v>328</v>
      </c>
      <c r="E191" s="198"/>
      <c r="F191" s="198"/>
      <c r="G191" s="175" t="s">
        <v>335</v>
      </c>
      <c r="H191" s="670"/>
      <c r="I191" s="670"/>
      <c r="J191" s="670"/>
      <c r="K191" s="670"/>
      <c r="L191" s="670"/>
      <c r="M191" s="670"/>
      <c r="N191" s="670"/>
      <c r="O191" s="670"/>
      <c r="P191" s="176"/>
      <c r="Q191" s="176">
        <v>85630</v>
      </c>
      <c r="R191" s="176">
        <v>97944</v>
      </c>
      <c r="S191" s="176">
        <v>183031</v>
      </c>
      <c r="T191" s="176">
        <v>250080</v>
      </c>
      <c r="U191" s="176">
        <v>278125</v>
      </c>
      <c r="V191" s="176"/>
      <c r="W191" s="176"/>
      <c r="X191" s="176"/>
      <c r="Y191" s="176"/>
      <c r="Z191" s="176"/>
    </row>
    <row r="192" spans="1:38" s="191" customFormat="1" x14ac:dyDescent="0.25">
      <c r="A192" s="216" t="s">
        <v>329</v>
      </c>
      <c r="B192" s="218" t="s">
        <v>56</v>
      </c>
      <c r="C192" s="218"/>
      <c r="D192" s="176" t="s">
        <v>330</v>
      </c>
      <c r="E192" s="198"/>
      <c r="F192" s="198"/>
      <c r="G192" s="175" t="s">
        <v>335</v>
      </c>
      <c r="H192" s="670"/>
      <c r="I192" s="670"/>
      <c r="J192" s="670"/>
      <c r="K192" s="670"/>
      <c r="L192" s="670"/>
      <c r="M192" s="670"/>
      <c r="N192" s="670"/>
      <c r="O192" s="670"/>
      <c r="P192" s="176"/>
      <c r="Q192" s="176"/>
      <c r="R192" s="176"/>
      <c r="S192" s="176"/>
      <c r="T192" s="176"/>
      <c r="U192" s="176"/>
      <c r="V192" s="176"/>
      <c r="W192" s="176"/>
      <c r="X192" s="176">
        <v>1253</v>
      </c>
      <c r="Y192" s="176">
        <v>1096</v>
      </c>
      <c r="Z192" s="176"/>
      <c r="AA192" s="671"/>
    </row>
    <row r="193" spans="1:28" s="208" customFormat="1" x14ac:dyDescent="0.25">
      <c r="A193" s="216" t="s">
        <v>331</v>
      </c>
      <c r="B193" s="216" t="s">
        <v>331</v>
      </c>
      <c r="C193" s="218" t="s">
        <v>56</v>
      </c>
      <c r="D193" s="198" t="s">
        <v>171</v>
      </c>
      <c r="E193" s="198"/>
      <c r="F193" s="198"/>
      <c r="G193" s="333" t="s">
        <v>336</v>
      </c>
      <c r="H193" s="672"/>
      <c r="I193" s="672"/>
      <c r="J193" s="672"/>
      <c r="K193" s="672"/>
      <c r="L193" s="672"/>
      <c r="M193" s="672"/>
      <c r="N193" s="672"/>
      <c r="O193" s="672"/>
      <c r="P193" s="198">
        <v>364174</v>
      </c>
      <c r="Q193" s="95">
        <v>492560</v>
      </c>
      <c r="R193" s="95">
        <v>547690</v>
      </c>
      <c r="S193" s="95">
        <v>719360</v>
      </c>
      <c r="T193" s="95">
        <v>813763</v>
      </c>
      <c r="U193" s="95">
        <v>820371</v>
      </c>
      <c r="V193" s="95">
        <v>596124</v>
      </c>
      <c r="W193" s="95">
        <v>190000</v>
      </c>
      <c r="X193" s="95">
        <v>267043</v>
      </c>
      <c r="Y193" s="95">
        <v>537296</v>
      </c>
      <c r="Z193" s="95">
        <v>610029</v>
      </c>
      <c r="AA193" s="673"/>
      <c r="AB193" s="673"/>
    </row>
  </sheetData>
  <mergeCells count="3">
    <mergeCell ref="D110:G110"/>
    <mergeCell ref="D111:G111"/>
    <mergeCell ref="D184:G184"/>
  </mergeCells>
  <conditionalFormatting sqref="H24:H25">
    <cfRule type="cellIs" dxfId="23" priority="69" operator="equal">
      <formula>1</formula>
    </cfRule>
  </conditionalFormatting>
  <conditionalFormatting sqref="H44:H45">
    <cfRule type="cellIs" dxfId="22" priority="68" operator="equal">
      <formula>1</formula>
    </cfRule>
  </conditionalFormatting>
  <conditionalFormatting sqref="H58:H59">
    <cfRule type="cellIs" dxfId="21" priority="67" operator="equal">
      <formula>1</formula>
    </cfRule>
  </conditionalFormatting>
  <conditionalFormatting sqref="H71">
    <cfRule type="cellIs" dxfId="20" priority="66" operator="equal">
      <formula>1</formula>
    </cfRule>
  </conditionalFormatting>
  <conditionalFormatting sqref="H91">
    <cfRule type="cellIs" dxfId="19" priority="65" operator="equal">
      <formula>1</formula>
    </cfRule>
  </conditionalFormatting>
  <conditionalFormatting sqref="H101">
    <cfRule type="cellIs" dxfId="18" priority="64" operator="equal">
      <formula>1</formula>
    </cfRule>
  </conditionalFormatting>
  <conditionalFormatting sqref="H110">
    <cfRule type="cellIs" dxfId="17" priority="63" operator="equal">
      <formula>1</formula>
    </cfRule>
  </conditionalFormatting>
  <conditionalFormatting sqref="H121">
    <cfRule type="cellIs" dxfId="16" priority="62" operator="equal">
      <formula>1</formula>
    </cfRule>
  </conditionalFormatting>
  <conditionalFormatting sqref="H131">
    <cfRule type="cellIs" dxfId="15" priority="61" operator="equal">
      <formula>1</formula>
    </cfRule>
  </conditionalFormatting>
  <conditionalFormatting sqref="H143">
    <cfRule type="cellIs" dxfId="14" priority="60" operator="equal">
      <formula>1</formula>
    </cfRule>
  </conditionalFormatting>
  <conditionalFormatting sqref="H163">
    <cfRule type="cellIs" dxfId="13" priority="59" operator="equal">
      <formula>1</formula>
    </cfRule>
  </conditionalFormatting>
  <conditionalFormatting sqref="H171">
    <cfRule type="cellIs" dxfId="12" priority="57" operator="equal">
      <formula>1</formula>
    </cfRule>
  </conditionalFormatting>
  <conditionalFormatting sqref="H184">
    <cfRule type="cellIs" dxfId="11" priority="2" operator="equal">
      <formula>1</formula>
    </cfRule>
  </conditionalFormatting>
  <conditionalFormatting sqref="H138:W138 Y138:Z138">
    <cfRule type="cellIs" dxfId="10" priority="47" operator="equal">
      <formula>1</formula>
    </cfRule>
  </conditionalFormatting>
  <conditionalFormatting sqref="H161:Z161">
    <cfRule type="cellIs" dxfId="9" priority="46" operator="equal">
      <formula>1</formula>
    </cfRule>
  </conditionalFormatting>
  <conditionalFormatting sqref="H173:Z178">
    <cfRule type="cellIs" dxfId="8" priority="75" operator="equal">
      <formula>0</formula>
    </cfRule>
  </conditionalFormatting>
  <conditionalFormatting sqref="H57:AO57">
    <cfRule type="cellIs" dxfId="7" priority="52" operator="equal">
      <formula>1</formula>
    </cfRule>
  </conditionalFormatting>
  <conditionalFormatting sqref="H94:AO98">
    <cfRule type="cellIs" dxfId="6" priority="98" operator="equal">
      <formula>0</formula>
    </cfRule>
  </conditionalFormatting>
  <conditionalFormatting sqref="H99:AO99">
    <cfRule type="cellIs" dxfId="5" priority="51" operator="equal">
      <formula>1</formula>
    </cfRule>
  </conditionalFormatting>
  <conditionalFormatting sqref="H108:AO108">
    <cfRule type="cellIs" dxfId="4" priority="50" operator="equal">
      <formula>1</formula>
    </cfRule>
  </conditionalFormatting>
  <conditionalFormatting sqref="H115:AO115">
    <cfRule type="cellIs" dxfId="3" priority="49" operator="equal">
      <formula>1</formula>
    </cfRule>
  </conditionalFormatting>
  <conditionalFormatting sqref="P186:Z193">
    <cfRule type="cellIs" dxfId="2" priority="3" operator="equal">
      <formula>0</formula>
    </cfRule>
  </conditionalFormatting>
  <conditionalFormatting sqref="AP4:AP10">
    <cfRule type="cellIs" dxfId="1" priority="55" operator="equal">
      <formula>1</formula>
    </cfRule>
  </conditionalFormatting>
  <conditionalFormatting sqref="AP14:AP2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Upplýsingar | Information</vt:lpstr>
      <vt:lpstr>Skuldbindingar | Obligations</vt:lpstr>
      <vt:lpstr>Losun | Emissions</vt:lpstr>
      <vt:lpstr>Talnagögn | Numerical Data</vt:lpstr>
      <vt:lpstr>°B1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UOS</cp:lastModifiedBy>
  <dcterms:created xsi:type="dcterms:W3CDTF">2023-07-06T14:35:34Z</dcterms:created>
  <dcterms:modified xsi:type="dcterms:W3CDTF">2025-01-30T10:58:57Z</dcterms:modified>
</cp:coreProperties>
</file>