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.xml" ContentType="application/vnd.openxmlformats-officedocument.drawingml.chartshapes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0.xml" ContentType="application/vnd.openxmlformats-officedocument.drawingml.chartshapes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1.xml" ContentType="application/vnd.openxmlformats-officedocument.drawingml.chartshapes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2.xml" ContentType="application/vnd.openxmlformats-officedocument.drawing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3.xml" ContentType="application/vnd.openxmlformats-officedocument.drawingml.chartshapes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4.xml" ContentType="application/vnd.openxmlformats-officedocument.drawingml.chartshapes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5.xml" ContentType="application/vnd.openxmlformats-officedocument.drawingml.chartshapes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6.xml" ContentType="application/vnd.openxmlformats-officedocument.drawingml.chartshapes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7.xml" ContentType="application/vnd.openxmlformats-officedocument.drawingml.chartshapes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8.xml" ContentType="application/vnd.openxmlformats-officedocument.drawingml.chartshapes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9.xml" ContentType="application/vnd.openxmlformats-officedocument.drawingml.chartshapes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20.xml" ContentType="application/vnd.openxmlformats-officedocument.drawingml.chartshapes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21.xml" ContentType="application/vnd.openxmlformats-officedocument.drawingml.chartshapes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3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22.xml" ContentType="application/vnd.openxmlformats-officedocument.drawingml.chartshapes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6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23.xml" ContentType="application/vnd.openxmlformats-officedocument.drawingml.chartshapes+xml"/>
  <Override PartName="/xl/charts/chart97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24.xml" ContentType="application/vnd.openxmlformats-officedocument.drawingml.chartshapes+xml"/>
  <Override PartName="/xl/charts/chart98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25.xml" ContentType="application/vnd.openxmlformats-officedocument.drawingml.chartshapes+xml"/>
  <Override PartName="/xl/charts/chart99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0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01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4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26.xml" ContentType="application/vnd.openxmlformats-officedocument.drawingml.chartshapes+xml"/>
  <Override PartName="/xl/charts/chart105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6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27.xml" ContentType="application/vnd.openxmlformats-officedocument.drawingml.chartshapes+xml"/>
  <Override PartName="/xl/charts/chart10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28.xml" ContentType="application/vnd.openxmlformats-officedocument.drawingml.chartshapes+xml"/>
  <Override PartName="/xl/charts/chart112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6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7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8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2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29.xml" ContentType="application/vnd.openxmlformats-officedocument.drawingml.chartshapes+xml"/>
  <Override PartName="/xl/charts/chart12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2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30.xml" ContentType="application/vnd.openxmlformats-officedocument.drawingml.chartshapes+xml"/>
  <Override PartName="/xl/charts/chart12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2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35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6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37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38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41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.xml" ContentType="application/vnd.openxmlformats-officedocument.themeOverride+xml"/>
  <Override PartName="/xl/drawings/drawing31.xml" ContentType="application/vnd.openxmlformats-officedocument.drawingml.chartshapes+xml"/>
  <Override PartName="/xl/charts/chart145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46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47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2.xml" ContentType="application/vnd.openxmlformats-officedocument.themeOverride+xml"/>
  <Override PartName="/xl/drawings/drawing32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3.xml" ContentType="application/vnd.openxmlformats-officedocument.themeOverride+xml"/>
  <Override PartName="/xl/drawings/drawing33.xml" ContentType="application/vnd.openxmlformats-officedocument.drawingml.chartshapes+xml"/>
  <Override PartName="/xl/charts/chart150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51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4.xml" ContentType="application/vnd.openxmlformats-officedocument.themeOverride+xml"/>
  <Override PartName="/xl/drawings/drawing34.xml" ContentType="application/vnd.openxmlformats-officedocument.drawingml.chartshapes+xml"/>
  <Override PartName="/xl/charts/chart152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53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5.xml" ContentType="application/vnd.openxmlformats-officedocument.themeOverride+xml"/>
  <Override PartName="/xl/drawings/drawing35.xml" ContentType="application/vnd.openxmlformats-officedocument.drawingml.chartshapes+xml"/>
  <Override PartName="/xl/charts/chart154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55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36.xml" ContentType="application/vnd.openxmlformats-officedocument.drawingml.chartshapes+xml"/>
  <Override PartName="/xl/charts/chart156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57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37.xml" ContentType="application/vnd.openxmlformats-officedocument.drawingml.chartshapes+xml"/>
  <Override PartName="/xl/charts/chart15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59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6.xml" ContentType="application/vnd.openxmlformats-officedocument.themeOverride+xml"/>
  <Override PartName="/xl/drawings/drawing38.xml" ContentType="application/vnd.openxmlformats-officedocument.drawingml.chartshapes+xml"/>
  <Override PartName="/xl/charts/chart160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61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7.xml" ContentType="application/vnd.openxmlformats-officedocument.themeOverride+xml"/>
  <Override PartName="/xl/drawings/drawing39.xml" ContentType="application/vnd.openxmlformats-officedocument.drawingml.chartshapes+xml"/>
  <Override PartName="/xl/charts/chart162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63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64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8.xml" ContentType="application/vnd.openxmlformats-officedocument.themeOverride+xml"/>
  <Override PartName="/xl/drawings/drawing40.xml" ContentType="application/vnd.openxmlformats-officedocument.drawingml.chartshapes+xml"/>
  <Override PartName="/xl/charts/chart165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J:\0_Emission Inventory\2026_Inventory\3_Outputs\UNFCCC og ESB\"/>
    </mc:Choice>
  </mc:AlternateContent>
  <xr:revisionPtr revIDLastSave="0" documentId="13_ncr:1_{3B3FE3ED-06EB-4D74-B0ED-FE4EB0617C26}" xr6:coauthVersionLast="47" xr6:coauthVersionMax="47" xr10:uidLastSave="{00000000-0000-0000-0000-000000000000}"/>
  <bookViews>
    <workbookView xWindow="38280" yWindow="1170" windowWidth="29040" windowHeight="15720" tabRatio="601" xr2:uid="{F4DA65C9-8642-4896-BAE6-6F97A51D3F29}"/>
  </bookViews>
  <sheets>
    <sheet name="Upplýsingar | Information" sheetId="2" r:id="rId1"/>
    <sheet name="Skuldbindingar | Obligations" sheetId="6" r:id="rId2"/>
    <sheet name="Losun | Emissions" sheetId="3" r:id="rId3"/>
    <sheet name="Talnagögn | Numerical Data" sheetId="5" r:id="rId4"/>
  </sheets>
  <definedNames>
    <definedName name="°B1">'Talnagögn | Numerical Data'!$E$230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" i="5" l="1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P127" i="5"/>
  <c r="A718" i="3" l="1"/>
  <c r="B718" i="3"/>
  <c r="B636" i="3"/>
  <c r="A636" i="3"/>
  <c r="B554" i="3" l="1"/>
  <c r="A554" i="3"/>
  <c r="B442" i="3"/>
  <c r="A442" i="3"/>
  <c r="AT433" i="3"/>
  <c r="B346" i="3" l="1"/>
  <c r="A346" i="3"/>
  <c r="B257" i="3"/>
  <c r="A257" i="3"/>
  <c r="B157" i="3"/>
  <c r="A157" i="3"/>
  <c r="B27" i="3"/>
  <c r="A27" i="3"/>
  <c r="AQ372" i="6"/>
  <c r="B145" i="6"/>
  <c r="A145" i="6"/>
  <c r="A14" i="6"/>
  <c r="D312" i="5"/>
  <c r="B14" i="6"/>
  <c r="T57" i="5" l="1"/>
  <c r="AP103" i="5"/>
  <c r="AP100" i="5"/>
  <c r="AP97" i="5"/>
  <c r="H86" i="5"/>
  <c r="AP96" i="5"/>
  <c r="AP195" i="5"/>
  <c r="AP105" i="5"/>
  <c r="AP104" i="5"/>
  <c r="AM548" i="3" l="1" a="1"/>
  <c r="AM548" i="3" s="1"/>
  <c r="AH548" i="3" a="1"/>
  <c r="AH548" i="3" s="1"/>
  <c r="AL548" i="3" a="1"/>
  <c r="AL548" i="3" s="1"/>
  <c r="AO548" i="3" a="1"/>
  <c r="AO548" i="3" s="1"/>
  <c r="AN548" i="3" a="1"/>
  <c r="AN548" i="3" s="1"/>
  <c r="AL549" i="3" a="1"/>
  <c r="AL549" i="3" s="1"/>
  <c r="AO549" i="3" a="1"/>
  <c r="AO549" i="3" s="1"/>
  <c r="AN549" i="3" a="1"/>
  <c r="AN549" i="3" s="1"/>
  <c r="AM549" i="3" a="1"/>
  <c r="AM549" i="3" s="1"/>
  <c r="AH549" i="3" a="1"/>
  <c r="AH549" i="3" s="1"/>
  <c r="AN551" i="3" a="1"/>
  <c r="AN551" i="3" s="1"/>
  <c r="AL551" i="3" a="1"/>
  <c r="AL551" i="3" s="1"/>
  <c r="AH551" i="3" a="1"/>
  <c r="AH551" i="3" s="1"/>
  <c r="AM551" i="3" a="1"/>
  <c r="AM551" i="3" s="1"/>
  <c r="AO551" i="3" a="1"/>
  <c r="AO551" i="3" s="1"/>
  <c r="AH631" i="3" a="1"/>
  <c r="AH631" i="3" s="1"/>
  <c r="AO631" i="3" a="1"/>
  <c r="AO631" i="3" s="1"/>
  <c r="AL631" i="3" a="1"/>
  <c r="AL631" i="3" s="1"/>
  <c r="AN631" i="3" a="1"/>
  <c r="AN631" i="3" s="1"/>
  <c r="AM631" i="3" a="1"/>
  <c r="AM631" i="3" s="1"/>
  <c r="AO633" i="3" a="1"/>
  <c r="AO633" i="3" s="1"/>
  <c r="AM633" i="3" a="1"/>
  <c r="AM633" i="3" s="1"/>
  <c r="AL633" i="3" a="1"/>
  <c r="AL633" i="3" s="1"/>
  <c r="AH633" i="3" a="1"/>
  <c r="AH633" i="3" s="1"/>
  <c r="AN633" i="3" a="1"/>
  <c r="AN633" i="3" s="1"/>
  <c r="AM635" i="3" a="1"/>
  <c r="AM635" i="3" s="1"/>
  <c r="AH635" i="3" a="1"/>
  <c r="AH635" i="3" s="1"/>
  <c r="AO635" i="3" a="1"/>
  <c r="AO635" i="3" s="1"/>
  <c r="AN635" i="3" a="1"/>
  <c r="AN635" i="3" s="1"/>
  <c r="AL635" i="3" a="1"/>
  <c r="AL635" i="3" s="1"/>
  <c r="AN553" i="3" a="1"/>
  <c r="AN553" i="3" s="1"/>
  <c r="AL553" i="3" a="1"/>
  <c r="AL553" i="3" s="1"/>
  <c r="AH553" i="3" a="1"/>
  <c r="AH553" i="3" s="1"/>
  <c r="AO553" i="3" a="1"/>
  <c r="AO553" i="3" s="1"/>
  <c r="AM553" i="3" a="1"/>
  <c r="AM553" i="3" s="1"/>
  <c r="AL550" i="3" a="1"/>
  <c r="AL550" i="3" s="1"/>
  <c r="AO550" i="3" a="1"/>
  <c r="AO550" i="3" s="1"/>
  <c r="AH550" i="3" a="1"/>
  <c r="AH550" i="3" s="1"/>
  <c r="AN550" i="3" a="1"/>
  <c r="AN550" i="3" s="1"/>
  <c r="AM550" i="3" a="1"/>
  <c r="AM550" i="3" s="1"/>
  <c r="AH632" i="3" a="1"/>
  <c r="AH632" i="3" s="1"/>
  <c r="AN632" i="3" a="1"/>
  <c r="AN632" i="3" s="1"/>
  <c r="AO632" i="3" a="1"/>
  <c r="AO632" i="3" s="1"/>
  <c r="AM632" i="3" a="1"/>
  <c r="AM632" i="3" s="1"/>
  <c r="AL632" i="3" a="1"/>
  <c r="AL632" i="3" s="1"/>
  <c r="AO717" i="3" a="1"/>
  <c r="AO717" i="3" s="1"/>
  <c r="AN717" i="3" a="1"/>
  <c r="AN717" i="3" s="1"/>
  <c r="AM717" i="3" a="1"/>
  <c r="AM717" i="3" s="1"/>
  <c r="AL717" i="3" a="1"/>
  <c r="AL717" i="3" s="1"/>
  <c r="AH717" i="3" a="1"/>
  <c r="AH717" i="3" s="1"/>
  <c r="AO715" i="3" a="1"/>
  <c r="AO715" i="3" s="1"/>
  <c r="AN715" i="3" a="1"/>
  <c r="AN715" i="3" s="1"/>
  <c r="AM715" i="3" a="1"/>
  <c r="AM715" i="3" s="1"/>
  <c r="AL715" i="3" a="1"/>
  <c r="AL715" i="3" s="1"/>
  <c r="AH715" i="3" a="1"/>
  <c r="AH715" i="3" s="1"/>
  <c r="L715" i="3" a="1"/>
  <c r="L715" i="3" s="1"/>
  <c r="AL634" i="3" a="1"/>
  <c r="AL634" i="3" s="1"/>
  <c r="AO634" i="3" a="1"/>
  <c r="AO634" i="3" s="1"/>
  <c r="AM634" i="3" a="1"/>
  <c r="AM634" i="3" s="1"/>
  <c r="AN634" i="3" a="1"/>
  <c r="AN634" i="3" s="1"/>
  <c r="AH634" i="3" a="1"/>
  <c r="AH634" i="3" s="1"/>
  <c r="AH716" i="3" a="1"/>
  <c r="AH716" i="3" s="1"/>
  <c r="AN716" i="3" a="1"/>
  <c r="AN716" i="3" s="1"/>
  <c r="AO716" i="3" a="1"/>
  <c r="AO716" i="3" s="1"/>
  <c r="AM716" i="3" a="1"/>
  <c r="AM716" i="3" s="1"/>
  <c r="AL716" i="3" a="1"/>
  <c r="AL716" i="3" s="1"/>
  <c r="J716" i="3" a="1"/>
  <c r="J716" i="3" s="1"/>
  <c r="AH427" i="3" a="1"/>
  <c r="AH427" i="3" s="1"/>
  <c r="AM427" i="3" a="1"/>
  <c r="AM427" i="3" s="1"/>
  <c r="AO427" i="3" a="1"/>
  <c r="AO427" i="3" s="1"/>
  <c r="AN427" i="3" a="1"/>
  <c r="AN427" i="3" s="1"/>
  <c r="AL427" i="3" a="1"/>
  <c r="AL427" i="3" s="1"/>
  <c r="AO429" i="3" a="1"/>
  <c r="AO429" i="3" s="1"/>
  <c r="AN429" i="3" a="1"/>
  <c r="AN429" i="3" s="1"/>
  <c r="AH429" i="3" a="1"/>
  <c r="AH429" i="3" s="1"/>
  <c r="AM429" i="3" a="1"/>
  <c r="AM429" i="3" s="1"/>
  <c r="AL429" i="3" a="1"/>
  <c r="AL429" i="3" s="1"/>
  <c r="AO425" i="3" a="1"/>
  <c r="AO425" i="3" s="1"/>
  <c r="AH425" i="3" a="1"/>
  <c r="AH425" i="3" s="1"/>
  <c r="AL425" i="3" a="1"/>
  <c r="AL425" i="3" s="1"/>
  <c r="AN425" i="3" a="1"/>
  <c r="AN425" i="3" s="1"/>
  <c r="AM425" i="3" a="1"/>
  <c r="AM425" i="3" s="1"/>
  <c r="AH426" i="3" a="1"/>
  <c r="AH426" i="3" s="1"/>
  <c r="AO426" i="3" a="1"/>
  <c r="AO426" i="3" s="1"/>
  <c r="AN426" i="3" a="1"/>
  <c r="AN426" i="3" s="1"/>
  <c r="AM426" i="3" a="1"/>
  <c r="AM426" i="3" s="1"/>
  <c r="AL426" i="3" a="1"/>
  <c r="AL426" i="3" s="1"/>
  <c r="AN136" i="6" a="1"/>
  <c r="AN136" i="6" s="1"/>
  <c r="AO23" i="3" a="1"/>
  <c r="AO23" i="3" s="1"/>
  <c r="AO11" i="3" a="1"/>
  <c r="AO11" i="3" s="1"/>
  <c r="AM136" i="6" a="1"/>
  <c r="AM136" i="6" s="1"/>
  <c r="AN23" i="3" a="1"/>
  <c r="AN23" i="3" s="1"/>
  <c r="AN11" i="3" a="1"/>
  <c r="AN11" i="3" s="1"/>
  <c r="AM23" i="3" a="1"/>
  <c r="AM23" i="3" s="1"/>
  <c r="AM11" i="3" a="1"/>
  <c r="AM11" i="3" s="1"/>
  <c r="AL23" i="3" a="1"/>
  <c r="AL23" i="3" s="1"/>
  <c r="AL11" i="3" a="1"/>
  <c r="AL11" i="3" s="1"/>
  <c r="AI136" i="6" a="1"/>
  <c r="AI136" i="6" s="1"/>
  <c r="AH23" i="3" a="1"/>
  <c r="AH23" i="3" s="1"/>
  <c r="AH11" i="3" a="1"/>
  <c r="AH11" i="3" s="1"/>
  <c r="AI135" i="6" a="1"/>
  <c r="AI135" i="6" s="1"/>
  <c r="AH248" i="3" a="1"/>
  <c r="AH248" i="3" s="1"/>
  <c r="AO248" i="3" a="1"/>
  <c r="AO248" i="3" s="1"/>
  <c r="AN248" i="3" a="1"/>
  <c r="AN248" i="3" s="1"/>
  <c r="AN135" i="6" a="1"/>
  <c r="AN135" i="6" s="1"/>
  <c r="AM248" i="3" a="1"/>
  <c r="AM248" i="3" s="1"/>
  <c r="AM135" i="6" a="1"/>
  <c r="AM135" i="6" s="1"/>
  <c r="AL248" i="3" a="1"/>
  <c r="AL248" i="3" s="1"/>
  <c r="AH24" i="3" a="1"/>
  <c r="AH24" i="3" s="1"/>
  <c r="AO24" i="3" a="1"/>
  <c r="AO24" i="3" s="1"/>
  <c r="AO13" i="3" a="1"/>
  <c r="AO13" i="3" s="1"/>
  <c r="AN24" i="3" a="1"/>
  <c r="AN24" i="3" s="1"/>
  <c r="AN13" i="3" a="1"/>
  <c r="AN13" i="3" s="1"/>
  <c r="AM24" i="3" a="1"/>
  <c r="AM24" i="3" s="1"/>
  <c r="AM13" i="3" a="1"/>
  <c r="AM13" i="3" s="1"/>
  <c r="AL24" i="3" a="1"/>
  <c r="AL24" i="3" s="1"/>
  <c r="AL13" i="3" a="1"/>
  <c r="AL13" i="3" s="1"/>
  <c r="AH13" i="3" a="1"/>
  <c r="AH13" i="3" s="1"/>
  <c r="AI140" i="6" a="1"/>
  <c r="AI140" i="6" s="1"/>
  <c r="AN140" i="6" a="1"/>
  <c r="AN140" i="6" s="1"/>
  <c r="AM140" i="6" a="1"/>
  <c r="AM140" i="6" s="1"/>
  <c r="AN253" i="3" a="1"/>
  <c r="AN253" i="3" s="1"/>
  <c r="AM253" i="3" a="1"/>
  <c r="AM253" i="3" s="1"/>
  <c r="AL253" i="3" a="1"/>
  <c r="AL253" i="3" s="1"/>
  <c r="AH253" i="3" a="1"/>
  <c r="AH253" i="3" s="1"/>
  <c r="AO253" i="3" a="1"/>
  <c r="AO253" i="3" s="1"/>
  <c r="AO254" i="3" a="1"/>
  <c r="AO254" i="3" s="1"/>
  <c r="AN254" i="3" a="1"/>
  <c r="AN254" i="3" s="1"/>
  <c r="AM254" i="3" a="1"/>
  <c r="AM254" i="3" s="1"/>
  <c r="AL254" i="3" a="1"/>
  <c r="AL254" i="3" s="1"/>
  <c r="AH254" i="3" a="1"/>
  <c r="AH254" i="3" s="1"/>
  <c r="AH256" i="3" a="1"/>
  <c r="AH256" i="3" s="1"/>
  <c r="AN21" i="3" a="1"/>
  <c r="AN21" i="3" s="1"/>
  <c r="AN9" i="3" a="1"/>
  <c r="AN9" i="3" s="1"/>
  <c r="AM21" i="3" a="1"/>
  <c r="AM21" i="3" s="1"/>
  <c r="AM9" i="3" a="1"/>
  <c r="AM9" i="3" s="1"/>
  <c r="AO256" i="3" a="1"/>
  <c r="AO256" i="3" s="1"/>
  <c r="AL21" i="3" a="1"/>
  <c r="AL21" i="3" s="1"/>
  <c r="AL9" i="3" a="1"/>
  <c r="AL9" i="3" s="1"/>
  <c r="AN256" i="3" a="1"/>
  <c r="AN256" i="3" s="1"/>
  <c r="AM256" i="3" a="1"/>
  <c r="AM256" i="3" s="1"/>
  <c r="AL256" i="3" a="1"/>
  <c r="AL256" i="3" s="1"/>
  <c r="AH21" i="3" a="1"/>
  <c r="AH21" i="3" s="1"/>
  <c r="AH9" i="3" a="1"/>
  <c r="AH9" i="3" s="1"/>
  <c r="AO21" i="3" a="1"/>
  <c r="AO21" i="3" s="1"/>
  <c r="AO9" i="3" a="1"/>
  <c r="AO9" i="3" s="1"/>
  <c r="AO12" i="3" a="1"/>
  <c r="AO12" i="3" s="1"/>
  <c r="AH12" i="3" a="1"/>
  <c r="AH12" i="3" s="1"/>
  <c r="AI296" i="6" a="1"/>
  <c r="AI296" i="6" s="1"/>
  <c r="AN12" i="3" a="1"/>
  <c r="AN12" i="3" s="1"/>
  <c r="AM12" i="3" a="1"/>
  <c r="AM12" i="3" s="1"/>
  <c r="AL12" i="3" a="1"/>
  <c r="AL12" i="3" s="1"/>
  <c r="AN296" i="6" a="1"/>
  <c r="AN296" i="6" s="1"/>
  <c r="AM296" i="6" a="1"/>
  <c r="AM296" i="6" s="1"/>
  <c r="AP192" i="5"/>
  <c r="AN293" i="6" a="1"/>
  <c r="AN293" i="6" s="1"/>
  <c r="AM293" i="6" a="1"/>
  <c r="AM293" i="6" s="1"/>
  <c r="AI293" i="6" a="1"/>
  <c r="AI293" i="6" s="1"/>
  <c r="AO22" i="3" a="1"/>
  <c r="AO22" i="3" s="1"/>
  <c r="AO10" i="3" a="1"/>
  <c r="AO10" i="3" s="1"/>
  <c r="AN22" i="3" a="1"/>
  <c r="AN22" i="3" s="1"/>
  <c r="AN10" i="3" a="1"/>
  <c r="AN10" i="3" s="1"/>
  <c r="AM22" i="3" a="1"/>
  <c r="AM22" i="3" s="1"/>
  <c r="AM10" i="3" a="1"/>
  <c r="AM10" i="3" s="1"/>
  <c r="AL22" i="3" a="1"/>
  <c r="AL22" i="3" s="1"/>
  <c r="AL10" i="3" a="1"/>
  <c r="AL10" i="3" s="1"/>
  <c r="AH22" i="3" a="1"/>
  <c r="AH22" i="3" s="1"/>
  <c r="AH10" i="3" a="1"/>
  <c r="AH10" i="3" s="1"/>
  <c r="AH249" i="3" a="1"/>
  <c r="AH249" i="3" s="1"/>
  <c r="AN137" i="6" a="1"/>
  <c r="AN137" i="6" s="1"/>
  <c r="AO249" i="3" a="1"/>
  <c r="AO249" i="3" s="1"/>
  <c r="AM137" i="6" a="1"/>
  <c r="AM137" i="6" s="1"/>
  <c r="AN249" i="3" a="1"/>
  <c r="AN249" i="3" s="1"/>
  <c r="AM249" i="3" a="1"/>
  <c r="AM249" i="3" s="1"/>
  <c r="AL249" i="3" a="1"/>
  <c r="AL249" i="3" s="1"/>
  <c r="AI137" i="6" a="1"/>
  <c r="AI137" i="6" s="1"/>
  <c r="AL250" i="3" a="1"/>
  <c r="AL250" i="3" s="1"/>
  <c r="AN139" i="6" a="1"/>
  <c r="AN139" i="6" s="1"/>
  <c r="AM139" i="6" a="1"/>
  <c r="AM139" i="6" s="1"/>
  <c r="AH250" i="3" a="1"/>
  <c r="AH250" i="3" s="1"/>
  <c r="AO250" i="3" a="1"/>
  <c r="AO250" i="3" s="1"/>
  <c r="AN250" i="3" a="1"/>
  <c r="AN250" i="3" s="1"/>
  <c r="AI139" i="6" a="1"/>
  <c r="AI139" i="6" s="1"/>
  <c r="AM250" i="3" a="1"/>
  <c r="AM250" i="3" s="1"/>
  <c r="AI291" i="6" a="1"/>
  <c r="AI291" i="6" s="1"/>
  <c r="AN291" i="6" a="1"/>
  <c r="AN291" i="6" s="1"/>
  <c r="AM291" i="6" a="1"/>
  <c r="AM291" i="6" s="1"/>
  <c r="AP191" i="5"/>
  <c r="AN292" i="6" a="1"/>
  <c r="AN292" i="6" s="1"/>
  <c r="AM292" i="6" a="1"/>
  <c r="AM292" i="6" s="1"/>
  <c r="AI292" i="6" a="1"/>
  <c r="AI292" i="6" s="1"/>
  <c r="AP193" i="5"/>
  <c r="AI294" i="6" a="1"/>
  <c r="AI294" i="6" s="1"/>
  <c r="AN294" i="6" a="1"/>
  <c r="AN294" i="6" s="1"/>
  <c r="AM294" i="6" a="1"/>
  <c r="AM294" i="6" s="1"/>
  <c r="AI138" i="6" a="1"/>
  <c r="AI138" i="6" s="1"/>
  <c r="AN138" i="6" a="1"/>
  <c r="AN138" i="6" s="1"/>
  <c r="AM138" i="6" a="1"/>
  <c r="AM138" i="6" s="1"/>
  <c r="AH14" i="3" a="1"/>
  <c r="AH14" i="3" s="1"/>
  <c r="AO14" i="3" a="1"/>
  <c r="AO14" i="3" s="1"/>
  <c r="AN14" i="3" a="1"/>
  <c r="AN14" i="3" s="1"/>
  <c r="AM14" i="3" a="1"/>
  <c r="AM14" i="3" s="1"/>
  <c r="AL14" i="3" a="1"/>
  <c r="AL14" i="3" s="1"/>
  <c r="AP98" i="5"/>
  <c r="F140" i="6" a="1"/>
  <c r="F140" i="6" s="1"/>
  <c r="AP20" i="5"/>
  <c r="AP17" i="5"/>
  <c r="AP15" i="5"/>
  <c r="AP14" i="5"/>
  <c r="AP19" i="5"/>
  <c r="AP16" i="5"/>
  <c r="AP18" i="5"/>
  <c r="AP190" i="5"/>
  <c r="AP186" i="5"/>
  <c r="AH552" i="3" l="1" a="1"/>
  <c r="AH552" i="3" s="1"/>
  <c r="AP194" i="5"/>
  <c r="AI295" i="6" a="1"/>
  <c r="AI295" i="6" s="1"/>
  <c r="AP317" i="5"/>
  <c r="AN376" i="6" l="1" a="1"/>
  <c r="AN376" i="6" s="1"/>
  <c r="AM376" i="6" a="1"/>
  <c r="AM376" i="6" s="1"/>
  <c r="AI376" i="6" a="1"/>
  <c r="AI376" i="6" s="1"/>
  <c r="AI375" i="6" a="1"/>
  <c r="AI375" i="6" s="1"/>
  <c r="AN375" i="6" a="1"/>
  <c r="AN375" i="6" s="1"/>
  <c r="AM375" i="6" a="1"/>
  <c r="AM375" i="6" s="1"/>
  <c r="AP306" i="5"/>
  <c r="AP307" i="5"/>
  <c r="AP284" i="5"/>
  <c r="AP286" i="5"/>
  <c r="AP288" i="5" l="1"/>
  <c r="AP292" i="5"/>
  <c r="AP291" i="5"/>
  <c r="AP275" i="5"/>
  <c r="AP290" i="5"/>
  <c r="AP285" i="5"/>
  <c r="AP283" i="5"/>
  <c r="AP287" i="5"/>
  <c r="AP289" i="5" l="1"/>
  <c r="AP221" i="5" l="1"/>
  <c r="AP223" i="5"/>
  <c r="AP210" i="5"/>
  <c r="AP157" i="5"/>
  <c r="AP160" i="5"/>
  <c r="AP165" i="5"/>
  <c r="AP169" i="5"/>
  <c r="AP170" i="5"/>
  <c r="AP66" i="5"/>
  <c r="AP78" i="5"/>
  <c r="AP36" i="5"/>
  <c r="AP41" i="5"/>
  <c r="AP42" i="5"/>
  <c r="AQ716" i="3"/>
  <c r="AQ715" i="3"/>
  <c r="AT714" i="3"/>
  <c r="AR714" i="3"/>
  <c r="AN714" i="3"/>
  <c r="AL714" i="3"/>
  <c r="AJ714" i="3"/>
  <c r="AH714" i="3"/>
  <c r="AT713" i="3"/>
  <c r="AR713" i="3"/>
  <c r="AN713" i="3"/>
  <c r="AL713" i="3"/>
  <c r="AJ713" i="3"/>
  <c r="AH713" i="3"/>
  <c r="AR712" i="3"/>
  <c r="AQ712" i="3"/>
  <c r="O716" i="3"/>
  <c r="O715" i="3"/>
  <c r="AQ155" i="3"/>
  <c r="AQ154" i="3"/>
  <c r="AQ153" i="3"/>
  <c r="AQ152" i="3"/>
  <c r="AQ151" i="3"/>
  <c r="AQ150" i="3"/>
  <c r="AQ149" i="3"/>
  <c r="AQ148" i="3"/>
  <c r="AQ255" i="3"/>
  <c r="AQ254" i="3"/>
  <c r="AQ253" i="3"/>
  <c r="AQ252" i="3"/>
  <c r="AQ251" i="3"/>
  <c r="AQ250" i="3"/>
  <c r="AQ249" i="3"/>
  <c r="AQ248" i="3"/>
  <c r="AG248" i="3"/>
  <c r="AQ344" i="3"/>
  <c r="AQ343" i="3"/>
  <c r="AQ342" i="3"/>
  <c r="AQ341" i="3"/>
  <c r="AG344" i="3"/>
  <c r="AG343" i="3"/>
  <c r="AG342" i="3"/>
  <c r="AG341" i="3"/>
  <c r="AQ428" i="3"/>
  <c r="AQ427" i="3"/>
  <c r="AQ426" i="3"/>
  <c r="AQ425" i="3"/>
  <c r="AQ440" i="3"/>
  <c r="AQ439" i="3"/>
  <c r="AQ438" i="3"/>
  <c r="AQ437" i="3"/>
  <c r="AQ436" i="3"/>
  <c r="AQ435" i="3"/>
  <c r="AQ548" i="3"/>
  <c r="AG548" i="3"/>
  <c r="AQ552" i="3"/>
  <c r="AQ551" i="3"/>
  <c r="AQ550" i="3"/>
  <c r="AQ549" i="3"/>
  <c r="AG552" i="3"/>
  <c r="AG551" i="3"/>
  <c r="AG550" i="3"/>
  <c r="AG549" i="3"/>
  <c r="AQ634" i="3"/>
  <c r="AQ633" i="3"/>
  <c r="AQ632" i="3"/>
  <c r="AQ631" i="3"/>
  <c r="AG634" i="3"/>
  <c r="AG633" i="3"/>
  <c r="AG632" i="3"/>
  <c r="AG631" i="3"/>
  <c r="AV714" i="3"/>
  <c r="R714" i="3"/>
  <c r="P714" i="3"/>
  <c r="L714" i="3"/>
  <c r="J714" i="3"/>
  <c r="H714" i="3"/>
  <c r="AV713" i="3"/>
  <c r="L713" i="3"/>
  <c r="J713" i="3"/>
  <c r="F713" i="3"/>
  <c r="AV712" i="3"/>
  <c r="E712" i="3"/>
  <c r="AV630" i="3"/>
  <c r="AT630" i="3"/>
  <c r="AR630" i="3"/>
  <c r="AN630" i="3"/>
  <c r="AL630" i="3"/>
  <c r="AJ630" i="3"/>
  <c r="AH630" i="3"/>
  <c r="AV629" i="3"/>
  <c r="AT629" i="3"/>
  <c r="AR629" i="3"/>
  <c r="AN629" i="3"/>
  <c r="AL629" i="3"/>
  <c r="AJ629" i="3"/>
  <c r="AH629" i="3"/>
  <c r="AV628" i="3"/>
  <c r="AR628" i="3"/>
  <c r="AQ628" i="3"/>
  <c r="O634" i="3"/>
  <c r="O633" i="3"/>
  <c r="O632" i="3"/>
  <c r="O631" i="3"/>
  <c r="R630" i="3"/>
  <c r="P630" i="3"/>
  <c r="L630" i="3"/>
  <c r="J630" i="3"/>
  <c r="H630" i="3"/>
  <c r="L629" i="3"/>
  <c r="J629" i="3"/>
  <c r="F629" i="3"/>
  <c r="E628" i="3"/>
  <c r="AT547" i="3"/>
  <c r="AR547" i="3"/>
  <c r="AN547" i="3"/>
  <c r="AL547" i="3"/>
  <c r="AJ547" i="3"/>
  <c r="AH547" i="3"/>
  <c r="AT546" i="3"/>
  <c r="AR546" i="3"/>
  <c r="AN546" i="3"/>
  <c r="AL546" i="3"/>
  <c r="AJ546" i="3"/>
  <c r="AH546" i="3"/>
  <c r="AR545" i="3"/>
  <c r="AQ545" i="3"/>
  <c r="O552" i="3"/>
  <c r="O551" i="3"/>
  <c r="O550" i="3"/>
  <c r="O549" i="3"/>
  <c r="O548" i="3"/>
  <c r="R547" i="3"/>
  <c r="P547" i="3"/>
  <c r="L547" i="3"/>
  <c r="J547" i="3"/>
  <c r="H547" i="3"/>
  <c r="L546" i="3"/>
  <c r="J546" i="3"/>
  <c r="F546" i="3"/>
  <c r="E545" i="3"/>
  <c r="AV434" i="3"/>
  <c r="AT434" i="3"/>
  <c r="AR434" i="3"/>
  <c r="AN434" i="3"/>
  <c r="AL434" i="3"/>
  <c r="AJ434" i="3"/>
  <c r="AH434" i="3"/>
  <c r="AV433" i="3"/>
  <c r="AR433" i="3"/>
  <c r="AN433" i="3"/>
  <c r="AL433" i="3"/>
  <c r="AJ433" i="3"/>
  <c r="AH433" i="3"/>
  <c r="AV432" i="3"/>
  <c r="AR432" i="3"/>
  <c r="AQ432" i="3"/>
  <c r="AV424" i="3"/>
  <c r="AT424" i="3"/>
  <c r="AR424" i="3"/>
  <c r="AN424" i="3"/>
  <c r="AL424" i="3"/>
  <c r="AJ424" i="3"/>
  <c r="AH424" i="3"/>
  <c r="AV423" i="3"/>
  <c r="AT423" i="3"/>
  <c r="AR423" i="3"/>
  <c r="AN423" i="3"/>
  <c r="AL423" i="3"/>
  <c r="AJ423" i="3"/>
  <c r="AH423" i="3"/>
  <c r="AV422" i="3"/>
  <c r="AR422" i="3"/>
  <c r="AQ422" i="3"/>
  <c r="O440" i="3"/>
  <c r="O435" i="3"/>
  <c r="O439" i="3"/>
  <c r="O437" i="3"/>
  <c r="O436" i="3"/>
  <c r="O438" i="3"/>
  <c r="R434" i="3"/>
  <c r="P434" i="3"/>
  <c r="L434" i="3"/>
  <c r="J434" i="3"/>
  <c r="H434" i="3"/>
  <c r="L433" i="3"/>
  <c r="J433" i="3"/>
  <c r="F433" i="3"/>
  <c r="E432" i="3"/>
  <c r="O428" i="3"/>
  <c r="O425" i="3"/>
  <c r="O427" i="3"/>
  <c r="O426" i="3"/>
  <c r="R424" i="3"/>
  <c r="P424" i="3"/>
  <c r="L424" i="3"/>
  <c r="J424" i="3"/>
  <c r="H424" i="3"/>
  <c r="L423" i="3"/>
  <c r="J423" i="3"/>
  <c r="F423" i="3"/>
  <c r="E422" i="3"/>
  <c r="AT340" i="3"/>
  <c r="AR340" i="3"/>
  <c r="AN340" i="3"/>
  <c r="AL340" i="3"/>
  <c r="AJ340" i="3"/>
  <c r="AH340" i="3"/>
  <c r="AT339" i="3"/>
  <c r="AR339" i="3"/>
  <c r="AN339" i="3"/>
  <c r="AL339" i="3"/>
  <c r="AJ339" i="3"/>
  <c r="AH339" i="3"/>
  <c r="AR338" i="3"/>
  <c r="AQ338" i="3"/>
  <c r="R340" i="3"/>
  <c r="P340" i="3"/>
  <c r="L340" i="3"/>
  <c r="J340" i="3"/>
  <c r="H340" i="3"/>
  <c r="L339" i="3"/>
  <c r="J339" i="3"/>
  <c r="F339" i="3"/>
  <c r="E338" i="3"/>
  <c r="O342" i="3"/>
  <c r="E342" i="3"/>
  <c r="O343" i="3"/>
  <c r="O341" i="3"/>
  <c r="AV247" i="3"/>
  <c r="AT247" i="3"/>
  <c r="AR247" i="3"/>
  <c r="AN247" i="3"/>
  <c r="AL247" i="3"/>
  <c r="AJ247" i="3"/>
  <c r="AH247" i="3"/>
  <c r="AV246" i="3"/>
  <c r="AT246" i="3"/>
  <c r="AR246" i="3"/>
  <c r="AN246" i="3"/>
  <c r="AL246" i="3"/>
  <c r="AJ246" i="3"/>
  <c r="AH246" i="3"/>
  <c r="AV245" i="3"/>
  <c r="AR245" i="3"/>
  <c r="AQ245" i="3"/>
  <c r="AG249" i="3"/>
  <c r="AG250" i="3"/>
  <c r="AG251" i="3"/>
  <c r="AG252" i="3"/>
  <c r="AG253" i="3"/>
  <c r="AG254" i="3"/>
  <c r="AG255" i="3"/>
  <c r="R247" i="3"/>
  <c r="P247" i="3"/>
  <c r="L247" i="3"/>
  <c r="J247" i="3"/>
  <c r="H247" i="3"/>
  <c r="L246" i="3"/>
  <c r="J246" i="3"/>
  <c r="F246" i="3"/>
  <c r="E245" i="3"/>
  <c r="O255" i="3"/>
  <c r="O254" i="3"/>
  <c r="O252" i="3"/>
  <c r="O253" i="3"/>
  <c r="O251" i="3"/>
  <c r="O250" i="3"/>
  <c r="O249" i="3"/>
  <c r="O248" i="3"/>
  <c r="AN146" i="3"/>
  <c r="AL146" i="3"/>
  <c r="AJ146" i="3"/>
  <c r="AH146" i="3"/>
  <c r="AN19" i="3"/>
  <c r="AL19" i="3"/>
  <c r="AJ19" i="3"/>
  <c r="AH19" i="3"/>
  <c r="AV147" i="3"/>
  <c r="AT147" i="3"/>
  <c r="AR147" i="3"/>
  <c r="AN147" i="3"/>
  <c r="AL147" i="3"/>
  <c r="AJ147" i="3"/>
  <c r="AH147" i="3"/>
  <c r="AV146" i="3"/>
  <c r="AT146" i="3"/>
  <c r="AR146" i="3"/>
  <c r="AV145" i="3"/>
  <c r="AR145" i="3"/>
  <c r="AQ145" i="3"/>
  <c r="AT19" i="3"/>
  <c r="AR19" i="3"/>
  <c r="AV19" i="3"/>
  <c r="AV7" i="3"/>
  <c r="O155" i="3"/>
  <c r="O153" i="3"/>
  <c r="O150" i="3"/>
  <c r="O152" i="3"/>
  <c r="O148" i="3"/>
  <c r="O154" i="3"/>
  <c r="O149" i="3"/>
  <c r="O151" i="3"/>
  <c r="R147" i="3"/>
  <c r="P147" i="3"/>
  <c r="L147" i="3"/>
  <c r="J147" i="3"/>
  <c r="H147" i="3"/>
  <c r="L146" i="3"/>
  <c r="J146" i="3"/>
  <c r="F146" i="3"/>
  <c r="E145" i="3"/>
  <c r="AQ24" i="3"/>
  <c r="AQ23" i="3"/>
  <c r="AQ22" i="3"/>
  <c r="AQ21" i="3"/>
  <c r="AQ13" i="3"/>
  <c r="AQ12" i="3"/>
  <c r="AQ11" i="3"/>
  <c r="AQ10" i="3"/>
  <c r="AQ9" i="3"/>
  <c r="AR18" i="3"/>
  <c r="AV18" i="3"/>
  <c r="AG24" i="3"/>
  <c r="AG23" i="3"/>
  <c r="AG22" i="3"/>
  <c r="AG21" i="3"/>
  <c r="AG13" i="3"/>
  <c r="AG12" i="3"/>
  <c r="AG11" i="3"/>
  <c r="AG10" i="3"/>
  <c r="AG9" i="3"/>
  <c r="AR8" i="3"/>
  <c r="AT8" i="3"/>
  <c r="AV8" i="3"/>
  <c r="AV20" i="3"/>
  <c r="AT20" i="3"/>
  <c r="AR20" i="3"/>
  <c r="AH20" i="3"/>
  <c r="AJ20" i="3"/>
  <c r="AN20" i="3"/>
  <c r="AN8" i="3"/>
  <c r="AL8" i="3"/>
  <c r="AJ8" i="3"/>
  <c r="AQ18" i="3"/>
  <c r="O18" i="3"/>
  <c r="AG6" i="3"/>
  <c r="AG18" i="3" s="1"/>
  <c r="AL20" i="3"/>
  <c r="R20" i="3"/>
  <c r="P20" i="3"/>
  <c r="L20" i="3"/>
  <c r="J20" i="3"/>
  <c r="H20" i="3"/>
  <c r="L19" i="3"/>
  <c r="J19" i="3"/>
  <c r="F19" i="3"/>
  <c r="E6" i="3"/>
  <c r="E18" i="3" s="1"/>
  <c r="O13" i="3"/>
  <c r="O12" i="3"/>
  <c r="O11" i="3"/>
  <c r="O10" i="3"/>
  <c r="O9" i="3"/>
  <c r="L7" i="3"/>
  <c r="L8" i="3"/>
  <c r="J7" i="3"/>
  <c r="J8" i="3"/>
  <c r="H8" i="3"/>
  <c r="F7" i="3"/>
  <c r="AP376" i="6"/>
  <c r="AP375" i="6"/>
  <c r="AP374" i="6"/>
  <c r="M376" i="6"/>
  <c r="M375" i="6"/>
  <c r="M374" i="6"/>
  <c r="AQ373" i="6"/>
  <c r="AM373" i="6"/>
  <c r="AK373" i="6"/>
  <c r="AI373" i="6"/>
  <c r="N373" i="6"/>
  <c r="J373" i="6"/>
  <c r="H373" i="6"/>
  <c r="F373" i="6"/>
  <c r="N372" i="6"/>
  <c r="AQ371" i="6"/>
  <c r="AH371" i="6"/>
  <c r="N371" i="6"/>
  <c r="E371" i="6"/>
  <c r="AP295" i="6"/>
  <c r="AP294" i="6"/>
  <c r="AP293" i="6"/>
  <c r="AP292" i="6"/>
  <c r="AP291" i="6"/>
  <c r="AQ290" i="6"/>
  <c r="AM290" i="6"/>
  <c r="AK290" i="6"/>
  <c r="AI290" i="6"/>
  <c r="AQ289" i="6"/>
  <c r="AQ288" i="6"/>
  <c r="AH288" i="6"/>
  <c r="N290" i="6"/>
  <c r="J290" i="6"/>
  <c r="H290" i="6"/>
  <c r="F290" i="6"/>
  <c r="N289" i="6"/>
  <c r="N288" i="6"/>
  <c r="E288" i="6"/>
  <c r="N134" i="6"/>
  <c r="J134" i="6"/>
  <c r="H134" i="6"/>
  <c r="F134" i="6"/>
  <c r="N133" i="6"/>
  <c r="N132" i="6"/>
  <c r="E132" i="6"/>
  <c r="AQ134" i="6"/>
  <c r="AM134" i="6"/>
  <c r="AK134" i="6"/>
  <c r="AI134" i="6"/>
  <c r="AQ133" i="6"/>
  <c r="AQ132" i="6"/>
  <c r="AH132" i="6"/>
  <c r="AQ119" i="6"/>
  <c r="AQ118" i="6"/>
  <c r="AM120" i="6"/>
  <c r="AK120" i="6"/>
  <c r="AI120" i="6"/>
  <c r="J120" i="6"/>
  <c r="H120" i="6"/>
  <c r="F120" i="6"/>
  <c r="N118" i="6"/>
  <c r="N119" i="6"/>
  <c r="M295" i="6"/>
  <c r="M294" i="6"/>
  <c r="M293" i="6"/>
  <c r="M292" i="6"/>
  <c r="M291" i="6"/>
  <c r="AP175" i="5" l="1"/>
  <c r="AP177" i="5"/>
  <c r="AP65" i="5"/>
  <c r="AP74" i="5"/>
  <c r="AP71" i="5"/>
  <c r="AP164" i="5"/>
  <c r="AP222" i="5"/>
  <c r="AP162" i="5"/>
  <c r="AP37" i="5"/>
  <c r="AP67" i="5"/>
  <c r="AP173" i="5"/>
  <c r="AP147" i="5"/>
  <c r="AP172" i="5"/>
  <c r="AP159" i="5"/>
  <c r="AP158" i="5"/>
  <c r="AP44" i="5"/>
  <c r="AP76" i="5"/>
  <c r="AP75" i="5"/>
  <c r="AP168" i="5"/>
  <c r="AP166" i="5"/>
  <c r="AP211" i="5"/>
  <c r="AP40" i="5"/>
  <c r="AP72" i="5"/>
  <c r="AP39" i="5"/>
  <c r="AP70" i="5"/>
  <c r="AP209" i="5"/>
  <c r="AP68" i="5"/>
  <c r="AP174" i="5"/>
  <c r="AP161" i="5"/>
  <c r="AP208" i="5"/>
  <c r="AP38" i="5"/>
  <c r="AP139" i="5"/>
  <c r="AP57" i="5"/>
  <c r="AP207" i="5"/>
  <c r="AP143" i="5"/>
  <c r="AP132" i="5"/>
  <c r="AP113" i="5"/>
  <c r="AP87" i="5"/>
  <c r="AP53" i="5"/>
  <c r="AP63" i="5"/>
  <c r="AP32" i="5"/>
  <c r="AG712" i="3"/>
  <c r="AG628" i="3"/>
  <c r="AG545" i="3"/>
  <c r="AG432" i="3"/>
  <c r="AG422" i="3"/>
  <c r="AG338" i="3"/>
  <c r="AG245" i="3"/>
  <c r="AG145" i="3"/>
  <c r="AH428" i="3" l="1" a="1"/>
  <c r="AH428" i="3" s="1"/>
  <c r="AH251" i="3" a="1"/>
  <c r="AH251" i="3" s="1"/>
  <c r="AI141" i="6" a="1"/>
  <c r="AI141" i="6" s="1"/>
  <c r="AH252" i="3" a="1"/>
  <c r="AH252" i="3" s="1"/>
  <c r="AP61" i="5"/>
  <c r="AP99" i="5"/>
  <c r="AP156" i="5"/>
  <c r="AP152" i="5"/>
  <c r="AP167" i="5"/>
  <c r="AP73" i="5"/>
  <c r="AP45" i="5"/>
  <c r="AP79" i="5"/>
  <c r="AP43" i="5"/>
  <c r="AP171" i="5"/>
  <c r="AP69" i="5"/>
  <c r="AP163" i="5"/>
  <c r="AQ120" i="6"/>
  <c r="AH118" i="6"/>
  <c r="M142" i="6"/>
  <c r="M141" i="6"/>
  <c r="M140" i="6"/>
  <c r="M139" i="6"/>
  <c r="M138" i="6"/>
  <c r="M137" i="6"/>
  <c r="M136" i="6"/>
  <c r="M135" i="6"/>
  <c r="N120" i="6"/>
  <c r="E118" i="6"/>
  <c r="AH4" i="6"/>
  <c r="E4" i="6"/>
  <c r="AH255" i="3" l="1" a="1"/>
  <c r="AH255" i="3" s="1"/>
  <c r="AP77" i="5"/>
  <c r="AP176" i="5"/>
  <c r="AM343" i="3" l="1" a="1"/>
  <c r="AM343" i="3" s="1"/>
  <c r="AH343" i="3" a="1"/>
  <c r="AH343" i="3" s="1"/>
  <c r="AO343" i="3" a="1"/>
  <c r="AO343" i="3" s="1"/>
  <c r="AN343" i="3" a="1"/>
  <c r="AN343" i="3" s="1"/>
  <c r="AL343" i="3" a="1"/>
  <c r="AL343" i="3" s="1"/>
  <c r="M21" i="3" a="1"/>
  <c r="M21" i="3" s="1"/>
  <c r="AH149" i="3" a="1"/>
  <c r="AH149" i="3" s="1"/>
  <c r="J248" i="3" a="1"/>
  <c r="J248" i="3" s="1"/>
  <c r="AO149" i="3" a="1"/>
  <c r="AO149" i="3" s="1"/>
  <c r="AN149" i="3" a="1"/>
  <c r="AN149" i="3" s="1"/>
  <c r="AM149" i="3" a="1"/>
  <c r="AM149" i="3" s="1"/>
  <c r="AL149" i="3" a="1"/>
  <c r="AL149" i="3" s="1"/>
  <c r="AO342" i="3" a="1"/>
  <c r="AO342" i="3" s="1"/>
  <c r="AM342" i="3" a="1"/>
  <c r="AM342" i="3" s="1"/>
  <c r="AL342" i="3" a="1"/>
  <c r="AL342" i="3" s="1"/>
  <c r="AH342" i="3" a="1"/>
  <c r="AH342" i="3" s="1"/>
  <c r="AO152" i="3" a="1"/>
  <c r="AO152" i="3" s="1"/>
  <c r="AN152" i="3" a="1"/>
  <c r="AN152" i="3" s="1"/>
  <c r="AN342" i="3" a="1"/>
  <c r="AN342" i="3" s="1"/>
  <c r="AL152" i="3" a="1"/>
  <c r="AL152" i="3" s="1"/>
  <c r="AM152" i="3" a="1"/>
  <c r="AM152" i="3" s="1"/>
  <c r="AH152" i="3" a="1"/>
  <c r="AH152" i="3" s="1"/>
  <c r="AM150" i="3" a="1"/>
  <c r="AM150" i="3" s="1"/>
  <c r="AL150" i="3" a="1"/>
  <c r="AL150" i="3" s="1"/>
  <c r="AH150" i="3" a="1"/>
  <c r="AH150" i="3" s="1"/>
  <c r="M23" i="3" a="1"/>
  <c r="M23" i="3" s="1"/>
  <c r="AO150" i="3" a="1"/>
  <c r="AO150" i="3" s="1"/>
  <c r="AN150" i="3" a="1"/>
  <c r="AN150" i="3" s="1"/>
  <c r="J11" i="3" a="1"/>
  <c r="J11" i="3" s="1"/>
  <c r="AH153" i="3" a="1"/>
  <c r="AH153" i="3" s="1"/>
  <c r="M24" i="3" a="1"/>
  <c r="M24" i="3" s="1"/>
  <c r="AO153" i="3" a="1"/>
  <c r="AO153" i="3" s="1"/>
  <c r="AN153" i="3" a="1"/>
  <c r="AN153" i="3" s="1"/>
  <c r="AM153" i="3" a="1"/>
  <c r="AM153" i="3" s="1"/>
  <c r="AL153" i="3" a="1"/>
  <c r="AL153" i="3" s="1"/>
  <c r="AH156" i="3" a="1"/>
  <c r="AH156" i="3" s="1"/>
  <c r="AN25" i="3" a="1"/>
  <c r="AN25" i="3" s="1"/>
  <c r="AO156" i="3" a="1"/>
  <c r="AO156" i="3" s="1"/>
  <c r="AL25" i="3" a="1"/>
  <c r="AL25" i="3" s="1"/>
  <c r="AN156" i="3" a="1"/>
  <c r="AN156" i="3" s="1"/>
  <c r="AH25" i="3" a="1"/>
  <c r="AH25" i="3" s="1"/>
  <c r="AM156" i="3" a="1"/>
  <c r="AM156" i="3" s="1"/>
  <c r="M25" i="3" a="1"/>
  <c r="M25" i="3" s="1"/>
  <c r="AL156" i="3" a="1"/>
  <c r="AL156" i="3" s="1"/>
  <c r="AO25" i="3" a="1"/>
  <c r="AO25" i="3" s="1"/>
  <c r="AM25" i="3" a="1"/>
  <c r="AM25" i="3" s="1"/>
  <c r="AO341" i="3" a="1"/>
  <c r="AO341" i="3" s="1"/>
  <c r="AN341" i="3" a="1"/>
  <c r="AN341" i="3" s="1"/>
  <c r="AM341" i="3" a="1"/>
  <c r="AM341" i="3" s="1"/>
  <c r="AO148" i="3" a="1"/>
  <c r="AO148" i="3" s="1"/>
  <c r="AL341" i="3" a="1"/>
  <c r="AL341" i="3" s="1"/>
  <c r="AN148" i="3" a="1"/>
  <c r="AN148" i="3" s="1"/>
  <c r="AH341" i="3" a="1"/>
  <c r="AH341" i="3" s="1"/>
  <c r="AM148" i="3" a="1"/>
  <c r="AM148" i="3" s="1"/>
  <c r="AL148" i="3" a="1"/>
  <c r="AL148" i="3" s="1"/>
  <c r="AH148" i="3" a="1"/>
  <c r="AH148" i="3" s="1"/>
  <c r="L148" i="3" a="1"/>
  <c r="L148" i="3" s="1"/>
  <c r="K148" i="3" a="1"/>
  <c r="K148" i="3" s="1"/>
  <c r="L253" i="3" a="1"/>
  <c r="L253" i="3" s="1"/>
  <c r="AM154" i="3" a="1"/>
  <c r="AM154" i="3" s="1"/>
  <c r="AL154" i="3" a="1"/>
  <c r="AL154" i="3" s="1"/>
  <c r="AH154" i="3" a="1"/>
  <c r="AH154" i="3" s="1"/>
  <c r="AN154" i="3" a="1"/>
  <c r="AN154" i="3" s="1"/>
  <c r="AO154" i="3" a="1"/>
  <c r="AO154" i="3" s="1"/>
  <c r="AO345" i="3" a="1"/>
  <c r="AO345" i="3" s="1"/>
  <c r="AN345" i="3" a="1"/>
  <c r="AN345" i="3" s="1"/>
  <c r="AM345" i="3" a="1"/>
  <c r="AM345" i="3" s="1"/>
  <c r="AL345" i="3" a="1"/>
  <c r="AL345" i="3" s="1"/>
  <c r="AH345" i="3" a="1"/>
  <c r="AH345" i="3" s="1"/>
  <c r="M22" i="3" a="1"/>
  <c r="M22" i="3" s="1"/>
  <c r="AO151" i="3" a="1"/>
  <c r="AO151" i="3" s="1"/>
  <c r="AN151" i="3" a="1"/>
  <c r="AN151" i="3" s="1"/>
  <c r="AM151" i="3" a="1"/>
  <c r="AM151" i="3" s="1"/>
  <c r="AL151" i="3" a="1"/>
  <c r="AL151" i="3" s="1"/>
  <c r="AH151" i="3" a="1"/>
  <c r="AH151" i="3" s="1"/>
  <c r="AH215" i="6" l="1"/>
  <c r="E215" i="6"/>
  <c r="E135" i="6"/>
  <c r="E137" i="6"/>
  <c r="AH424" i="6"/>
  <c r="E424" i="6"/>
  <c r="AH343" i="6"/>
  <c r="E343" i="6"/>
  <c r="B306" i="5"/>
  <c r="B307" i="5"/>
  <c r="B308" i="5"/>
  <c r="B305" i="5"/>
  <c r="AG310" i="3"/>
  <c r="E310" i="3"/>
  <c r="B322" i="5"/>
  <c r="B323" i="5"/>
  <c r="B324" i="5"/>
  <c r="B325" i="5"/>
  <c r="B326" i="5"/>
  <c r="B321" i="5"/>
  <c r="B314" i="5"/>
  <c r="B315" i="5"/>
  <c r="B316" i="5"/>
  <c r="B317" i="5"/>
  <c r="B318" i="5"/>
  <c r="B313" i="5"/>
  <c r="B270" i="5"/>
  <c r="B271" i="5"/>
  <c r="B272" i="5"/>
  <c r="B273" i="5"/>
  <c r="B274" i="5"/>
  <c r="B275" i="5"/>
  <c r="B276" i="5"/>
  <c r="B277" i="5"/>
  <c r="B278" i="5"/>
  <c r="B279" i="5"/>
  <c r="B280" i="5"/>
  <c r="B269" i="5"/>
  <c r="B284" i="5"/>
  <c r="B285" i="5"/>
  <c r="B286" i="5"/>
  <c r="B287" i="5"/>
  <c r="B288" i="5"/>
  <c r="B289" i="5"/>
  <c r="B290" i="5"/>
  <c r="B291" i="5"/>
  <c r="B292" i="5"/>
  <c r="B293" i="5"/>
  <c r="B283" i="5"/>
  <c r="AQ6" i="6" l="1"/>
  <c r="AM6" i="6"/>
  <c r="AM5" i="6"/>
  <c r="AK6" i="6"/>
  <c r="AI5" i="6"/>
  <c r="J5" i="6"/>
  <c r="AG763" i="3"/>
  <c r="E763" i="3"/>
  <c r="AG716" i="3"/>
  <c r="E716" i="3"/>
  <c r="AG715" i="3"/>
  <c r="E715" i="3"/>
  <c r="AG683" i="3"/>
  <c r="E683" i="3"/>
  <c r="E634" i="3"/>
  <c r="E633" i="3"/>
  <c r="E632" i="3"/>
  <c r="E631" i="3"/>
  <c r="AG600" i="3"/>
  <c r="E600" i="3"/>
  <c r="AG517" i="3"/>
  <c r="E517" i="3"/>
  <c r="AG393" i="3"/>
  <c r="E393" i="3"/>
  <c r="AG152" i="3"/>
  <c r="E152" i="3"/>
  <c r="AG148" i="3"/>
  <c r="E148" i="3"/>
  <c r="AG154" i="3"/>
  <c r="E154" i="3"/>
  <c r="AG149" i="3"/>
  <c r="E149" i="3"/>
  <c r="AG151" i="3"/>
  <c r="E151" i="3"/>
  <c r="N6" i="6"/>
  <c r="J6" i="6"/>
  <c r="H6" i="6"/>
  <c r="J133" i="6" l="1"/>
  <c r="J372" i="6"/>
  <c r="J289" i="6"/>
  <c r="J119" i="6"/>
  <c r="AI372" i="6"/>
  <c r="AI119" i="6"/>
  <c r="AI289" i="6"/>
  <c r="AI133" i="6"/>
  <c r="AM133" i="6"/>
  <c r="AM372" i="6"/>
  <c r="AM119" i="6"/>
  <c r="AM289" i="6"/>
  <c r="M717" i="3" a="1"/>
  <c r="M717" i="3" s="1"/>
  <c r="L717" i="3" a="1"/>
  <c r="L717" i="3" s="1"/>
  <c r="K717" i="3" a="1"/>
  <c r="K717" i="3" s="1"/>
  <c r="F717" i="3" a="1"/>
  <c r="F717" i="3" s="1"/>
  <c r="J717" i="3" a="1"/>
  <c r="J717" i="3" s="1"/>
  <c r="F716" i="3" a="1"/>
  <c r="F716" i="3" s="1"/>
  <c r="K716" i="3" a="1"/>
  <c r="K716" i="3" s="1"/>
  <c r="M716" i="3" a="1"/>
  <c r="M716" i="3" s="1"/>
  <c r="L716" i="3" a="1"/>
  <c r="L716" i="3" s="1"/>
  <c r="M715" i="3" a="1"/>
  <c r="M715" i="3" s="1"/>
  <c r="K715" i="3" a="1"/>
  <c r="K715" i="3" s="1"/>
  <c r="F715" i="3" a="1"/>
  <c r="F715" i="3" s="1"/>
  <c r="J715" i="3" a="1"/>
  <c r="J715" i="3" s="1"/>
  <c r="J292" i="6" a="1"/>
  <c r="J292" i="6" s="1"/>
  <c r="K292" i="6" a="1"/>
  <c r="K292" i="6" s="1"/>
  <c r="F292" i="6" a="1"/>
  <c r="F292" i="6" s="1"/>
  <c r="K291" i="6" a="1"/>
  <c r="K291" i="6" s="1"/>
  <c r="F291" i="6" a="1"/>
  <c r="F291" i="6" s="1"/>
  <c r="J291" i="6" a="1"/>
  <c r="J291" i="6" s="1"/>
  <c r="J375" i="6" a="1"/>
  <c r="J375" i="6" s="1"/>
  <c r="K375" i="6" a="1"/>
  <c r="K375" i="6" s="1"/>
  <c r="F375" i="6" a="1"/>
  <c r="F375" i="6" s="1"/>
  <c r="F296" i="6" a="1"/>
  <c r="F296" i="6" s="1"/>
  <c r="J296" i="6" a="1"/>
  <c r="J296" i="6" s="1"/>
  <c r="K296" i="6" a="1"/>
  <c r="K296" i="6" s="1"/>
  <c r="F294" i="6" a="1"/>
  <c r="F294" i="6" s="1"/>
  <c r="J294" i="6" a="1"/>
  <c r="J294" i="6" s="1"/>
  <c r="K294" i="6" a="1"/>
  <c r="K294" i="6" s="1"/>
  <c r="F293" i="6" a="1"/>
  <c r="F293" i="6" s="1"/>
  <c r="J293" i="6" a="1"/>
  <c r="J293" i="6" s="1"/>
  <c r="K293" i="6" a="1"/>
  <c r="K293" i="6" s="1"/>
  <c r="J376" i="6" a="1"/>
  <c r="J376" i="6" s="1"/>
  <c r="K376" i="6" a="1"/>
  <c r="K376" i="6" s="1"/>
  <c r="F376" i="6" a="1"/>
  <c r="F376" i="6" s="1"/>
  <c r="K138" i="6" a="1"/>
  <c r="K138" i="6" s="1"/>
  <c r="J138" i="6" a="1"/>
  <c r="J138" i="6" s="1"/>
  <c r="F138" i="6" a="1"/>
  <c r="F138" i="6" s="1"/>
  <c r="K136" i="6" a="1"/>
  <c r="K136" i="6" s="1"/>
  <c r="J136" i="6" a="1"/>
  <c r="J136" i="6" s="1"/>
  <c r="F136" i="6" a="1"/>
  <c r="F136" i="6" s="1"/>
  <c r="F139" i="6" a="1"/>
  <c r="F139" i="6" s="1"/>
  <c r="K139" i="6" a="1"/>
  <c r="K139" i="6" s="1"/>
  <c r="J139" i="6" a="1"/>
  <c r="J139" i="6" s="1"/>
  <c r="BS325" i="5"/>
  <c r="K135" i="6" a="1"/>
  <c r="K135" i="6" s="1"/>
  <c r="J135" i="6" a="1"/>
  <c r="J135" i="6" s="1"/>
  <c r="F135" i="6" a="1"/>
  <c r="F135" i="6" s="1"/>
  <c r="BR325" i="5"/>
  <c r="BJ325" i="5"/>
  <c r="K140" i="6" a="1"/>
  <c r="K140" i="6" s="1"/>
  <c r="J140" i="6" a="1"/>
  <c r="J140" i="6" s="1"/>
  <c r="W317" i="5"/>
  <c r="AT325" i="5"/>
  <c r="K137" i="6" a="1"/>
  <c r="K137" i="6" s="1"/>
  <c r="J137" i="6" a="1"/>
  <c r="J137" i="6" s="1"/>
  <c r="F137" i="6" a="1"/>
  <c r="F137" i="6" s="1"/>
  <c r="BF325" i="5"/>
  <c r="M149" i="3" a="1"/>
  <c r="M149" i="3" s="1"/>
  <c r="F149" i="3" a="1"/>
  <c r="F149" i="3" s="1"/>
  <c r="K248" i="3" a="1"/>
  <c r="K248" i="3" s="1"/>
  <c r="J149" i="3" a="1"/>
  <c r="J149" i="3" s="1"/>
  <c r="M248" i="3" a="1"/>
  <c r="M248" i="3" s="1"/>
  <c r="L248" i="3" a="1"/>
  <c r="L248" i="3" s="1"/>
  <c r="L149" i="3" a="1"/>
  <c r="L149" i="3" s="1"/>
  <c r="K149" i="3" a="1"/>
  <c r="K149" i="3" s="1"/>
  <c r="F248" i="3" a="1"/>
  <c r="F248" i="3" s="1"/>
  <c r="K254" i="3" a="1"/>
  <c r="K254" i="3" s="1"/>
  <c r="J254" i="3" a="1"/>
  <c r="J254" i="3" s="1"/>
  <c r="F254" i="3" a="1"/>
  <c r="F254" i="3" s="1"/>
  <c r="M254" i="3" a="1"/>
  <c r="M254" i="3" s="1"/>
  <c r="L254" i="3" a="1"/>
  <c r="L254" i="3" s="1"/>
  <c r="K425" i="3" a="1"/>
  <c r="K425" i="3" s="1"/>
  <c r="F425" i="3" a="1"/>
  <c r="F425" i="3" s="1"/>
  <c r="M425" i="3" a="1"/>
  <c r="M425" i="3" s="1"/>
  <c r="L425" i="3" a="1"/>
  <c r="L425" i="3" s="1"/>
  <c r="J425" i="3" a="1"/>
  <c r="J425" i="3" s="1"/>
  <c r="AK317" i="5"/>
  <c r="AC317" i="5"/>
  <c r="J253" i="3" a="1"/>
  <c r="J253" i="3" s="1"/>
  <c r="M253" i="3" a="1"/>
  <c r="M253" i="3" s="1"/>
  <c r="K253" i="3" a="1"/>
  <c r="K253" i="3" s="1"/>
  <c r="F253" i="3" a="1"/>
  <c r="F253" i="3" s="1"/>
  <c r="K551" i="3" a="1"/>
  <c r="K551" i="3" s="1"/>
  <c r="M551" i="3" a="1"/>
  <c r="M551" i="3" s="1"/>
  <c r="L551" i="3" a="1"/>
  <c r="L551" i="3" s="1"/>
  <c r="F551" i="3" a="1"/>
  <c r="F551" i="3" s="1"/>
  <c r="J551" i="3" a="1"/>
  <c r="J551" i="3" s="1"/>
  <c r="BG194" i="5"/>
  <c r="BN325" i="5"/>
  <c r="BM325" i="5"/>
  <c r="BA325" i="5"/>
  <c r="F14" i="3" a="1"/>
  <c r="F14" i="3" s="1"/>
  <c r="M14" i="3" a="1"/>
  <c r="M14" i="3" s="1"/>
  <c r="L14" i="3" a="1"/>
  <c r="L14" i="3" s="1"/>
  <c r="K14" i="3" a="1"/>
  <c r="K14" i="3" s="1"/>
  <c r="J14" i="3" a="1"/>
  <c r="J14" i="3" s="1"/>
  <c r="M635" i="3" a="1"/>
  <c r="M635" i="3" s="1"/>
  <c r="F635" i="3" a="1"/>
  <c r="F635" i="3" s="1"/>
  <c r="L635" i="3" a="1"/>
  <c r="L635" i="3" s="1"/>
  <c r="K635" i="3" a="1"/>
  <c r="K635" i="3" s="1"/>
  <c r="J635" i="3" a="1"/>
  <c r="J635" i="3" s="1"/>
  <c r="J153" i="3" a="1"/>
  <c r="J153" i="3" s="1"/>
  <c r="K153" i="3" a="1"/>
  <c r="K153" i="3" s="1"/>
  <c r="L153" i="3" a="1"/>
  <c r="L153" i="3" s="1"/>
  <c r="F153" i="3" a="1"/>
  <c r="F153" i="3" s="1"/>
  <c r="M153" i="3" a="1"/>
  <c r="M153" i="3" s="1"/>
  <c r="F24" i="3" a="1"/>
  <c r="F24" i="3" s="1"/>
  <c r="M13" i="3" a="1"/>
  <c r="M13" i="3" s="1"/>
  <c r="L13" i="3" a="1"/>
  <c r="L13" i="3" s="1"/>
  <c r="K13" i="3" a="1"/>
  <c r="K13" i="3" s="1"/>
  <c r="L24" i="3" a="1"/>
  <c r="L24" i="3" s="1"/>
  <c r="J13" i="3" a="1"/>
  <c r="J13" i="3" s="1"/>
  <c r="K24" i="3" a="1"/>
  <c r="K24" i="3" s="1"/>
  <c r="J24" i="3" a="1"/>
  <c r="J24" i="3" s="1"/>
  <c r="F13" i="3" a="1"/>
  <c r="F13" i="3" s="1"/>
  <c r="J553" i="3" a="1"/>
  <c r="J553" i="3" s="1"/>
  <c r="M553" i="3" a="1"/>
  <c r="M553" i="3" s="1"/>
  <c r="K553" i="3" a="1"/>
  <c r="K553" i="3" s="1"/>
  <c r="L553" i="3" a="1"/>
  <c r="L553" i="3" s="1"/>
  <c r="F553" i="3" a="1"/>
  <c r="F553" i="3" s="1"/>
  <c r="L12" i="3" a="1"/>
  <c r="L12" i="3" s="1"/>
  <c r="K12" i="3" a="1"/>
  <c r="K12" i="3" s="1"/>
  <c r="J12" i="3" a="1"/>
  <c r="J12" i="3" s="1"/>
  <c r="F12" i="3" a="1"/>
  <c r="F12" i="3" s="1"/>
  <c r="AI12" i="3" s="1"/>
  <c r="M12" i="3" a="1"/>
  <c r="M12" i="3" s="1"/>
  <c r="K151" i="3" a="1"/>
  <c r="K151" i="3" s="1"/>
  <c r="F249" i="3" a="1"/>
  <c r="F249" i="3" s="1"/>
  <c r="J151" i="3" a="1"/>
  <c r="J151" i="3" s="1"/>
  <c r="M249" i="3" a="1"/>
  <c r="M249" i="3" s="1"/>
  <c r="K249" i="3" a="1"/>
  <c r="K249" i="3" s="1"/>
  <c r="J249" i="3" a="1"/>
  <c r="J249" i="3" s="1"/>
  <c r="L151" i="3" a="1"/>
  <c r="L151" i="3" s="1"/>
  <c r="L249" i="3" a="1"/>
  <c r="L249" i="3" s="1"/>
  <c r="M151" i="3" a="1"/>
  <c r="M151" i="3" s="1"/>
  <c r="F151" i="3" a="1"/>
  <c r="F151" i="3" s="1"/>
  <c r="AQ194" i="5"/>
  <c r="AS325" i="5"/>
  <c r="L429" i="3" a="1"/>
  <c r="L429" i="3" s="1"/>
  <c r="K150" i="3" a="1"/>
  <c r="K150" i="3" s="1"/>
  <c r="M150" i="3" a="1"/>
  <c r="M150" i="3" s="1"/>
  <c r="K429" i="3" a="1"/>
  <c r="K429" i="3" s="1"/>
  <c r="L150" i="3" a="1"/>
  <c r="L150" i="3" s="1"/>
  <c r="J429" i="3" a="1"/>
  <c r="J429" i="3" s="1"/>
  <c r="M429" i="3" a="1"/>
  <c r="M429" i="3" s="1"/>
  <c r="F429" i="3" a="1"/>
  <c r="F429" i="3" s="1"/>
  <c r="F150" i="3" a="1"/>
  <c r="F150" i="3" s="1"/>
  <c r="J150" i="3" a="1"/>
  <c r="J150" i="3" s="1"/>
  <c r="L23" i="3" a="1"/>
  <c r="L23" i="3" s="1"/>
  <c r="K23" i="3" a="1"/>
  <c r="K23" i="3" s="1"/>
  <c r="F11" i="3" a="1"/>
  <c r="F11" i="3" s="1"/>
  <c r="J23" i="3" a="1"/>
  <c r="J23" i="3" s="1"/>
  <c r="M11" i="3" a="1"/>
  <c r="M11" i="3" s="1"/>
  <c r="L11" i="3" a="1"/>
  <c r="L11" i="3" s="1"/>
  <c r="F23" i="3" a="1"/>
  <c r="F23" i="3" s="1"/>
  <c r="K11" i="3" a="1"/>
  <c r="K11" i="3" s="1"/>
  <c r="M427" i="3" a="1"/>
  <c r="M427" i="3" s="1"/>
  <c r="L427" i="3" a="1"/>
  <c r="L427" i="3" s="1"/>
  <c r="J427" i="3" a="1"/>
  <c r="J427" i="3" s="1"/>
  <c r="F427" i="3" a="1"/>
  <c r="F427" i="3" s="1"/>
  <c r="K427" i="3" a="1"/>
  <c r="K427" i="3" s="1"/>
  <c r="F550" i="3" a="1"/>
  <c r="F550" i="3" s="1"/>
  <c r="J550" i="3" a="1"/>
  <c r="J550" i="3" s="1"/>
  <c r="K550" i="3" a="1"/>
  <c r="K550" i="3" s="1"/>
  <c r="L550" i="3" a="1"/>
  <c r="L550" i="3" s="1"/>
  <c r="M550" i="3" a="1"/>
  <c r="M550" i="3" s="1"/>
  <c r="F634" i="3" a="1"/>
  <c r="F634" i="3" s="1"/>
  <c r="M634" i="3" a="1"/>
  <c r="M634" i="3" s="1"/>
  <c r="L634" i="3" a="1"/>
  <c r="L634" i="3" s="1"/>
  <c r="K634" i="3" a="1"/>
  <c r="K634" i="3" s="1"/>
  <c r="J634" i="3" a="1"/>
  <c r="J634" i="3" s="1"/>
  <c r="K345" i="3" a="1"/>
  <c r="K345" i="3" s="1"/>
  <c r="M345" i="3" a="1"/>
  <c r="M345" i="3" s="1"/>
  <c r="L345" i="3" a="1"/>
  <c r="L345" i="3" s="1"/>
  <c r="F345" i="3" a="1"/>
  <c r="F345" i="3" s="1"/>
  <c r="J345" i="3" a="1"/>
  <c r="J345" i="3" s="1"/>
  <c r="L22" i="3" a="1"/>
  <c r="L22" i="3" s="1"/>
  <c r="K22" i="3" a="1"/>
  <c r="K22" i="3" s="1"/>
  <c r="F10" i="3" a="1"/>
  <c r="F10" i="3" s="1"/>
  <c r="J22" i="3" a="1"/>
  <c r="J22" i="3" s="1"/>
  <c r="M10" i="3" a="1"/>
  <c r="M10" i="3" s="1"/>
  <c r="L10" i="3" a="1"/>
  <c r="L10" i="3" s="1"/>
  <c r="F22" i="3" a="1"/>
  <c r="F22" i="3" s="1"/>
  <c r="K10" i="3" a="1"/>
  <c r="K10" i="3" s="1"/>
  <c r="J10" i="3" a="1"/>
  <c r="J10" i="3" s="1"/>
  <c r="L343" i="3" a="1"/>
  <c r="L343" i="3" s="1"/>
  <c r="K343" i="3" a="1"/>
  <c r="K343" i="3" s="1"/>
  <c r="J343" i="3" a="1"/>
  <c r="J343" i="3" s="1"/>
  <c r="M343" i="3" a="1"/>
  <c r="M343" i="3" s="1"/>
  <c r="F343" i="3" a="1"/>
  <c r="F343" i="3" s="1"/>
  <c r="F549" i="3" a="1"/>
  <c r="F549" i="3" s="1"/>
  <c r="L549" i="3" a="1"/>
  <c r="L549" i="3" s="1"/>
  <c r="K549" i="3" a="1"/>
  <c r="K549" i="3" s="1"/>
  <c r="M549" i="3" a="1"/>
  <c r="M549" i="3" s="1"/>
  <c r="J549" i="3" a="1"/>
  <c r="J549" i="3" s="1"/>
  <c r="M633" i="3" a="1"/>
  <c r="M633" i="3" s="1"/>
  <c r="L633" i="3" a="1"/>
  <c r="L633" i="3" s="1"/>
  <c r="K633" i="3" a="1"/>
  <c r="K633" i="3" s="1"/>
  <c r="J633" i="3" a="1"/>
  <c r="J633" i="3" s="1"/>
  <c r="F633" i="3" a="1"/>
  <c r="F633" i="3" s="1"/>
  <c r="Y275" i="5"/>
  <c r="L256" i="3" a="1"/>
  <c r="L256" i="3" s="1"/>
  <c r="K256" i="3" a="1"/>
  <c r="K256" i="3" s="1"/>
  <c r="J256" i="3" a="1"/>
  <c r="J256" i="3" s="1"/>
  <c r="M256" i="3" a="1"/>
  <c r="M256" i="3" s="1"/>
  <c r="F256" i="3" a="1"/>
  <c r="F256" i="3" s="1"/>
  <c r="J21" i="3" a="1"/>
  <c r="J21" i="3" s="1"/>
  <c r="M9" i="3" a="1"/>
  <c r="M9" i="3" s="1"/>
  <c r="L9" i="3" a="1"/>
  <c r="L9" i="3" s="1"/>
  <c r="F21" i="3" a="1"/>
  <c r="F21" i="3" s="1"/>
  <c r="K9" i="3" a="1"/>
  <c r="K9" i="3" s="1"/>
  <c r="J9" i="3" a="1"/>
  <c r="J9" i="3" s="1"/>
  <c r="L21" i="3" a="1"/>
  <c r="L21" i="3" s="1"/>
  <c r="K21" i="3" a="1"/>
  <c r="K21" i="3" s="1"/>
  <c r="F9" i="3" a="1"/>
  <c r="F9" i="3" s="1"/>
  <c r="K342" i="3" a="1"/>
  <c r="K342" i="3" s="1"/>
  <c r="M152" i="3" a="1"/>
  <c r="M152" i="3" s="1"/>
  <c r="F152" i="3" a="1"/>
  <c r="F152" i="3" s="1"/>
  <c r="F342" i="3" a="1"/>
  <c r="F342" i="3" s="1"/>
  <c r="M342" i="3" a="1"/>
  <c r="M342" i="3" s="1"/>
  <c r="J152" i="3" a="1"/>
  <c r="J152" i="3" s="1"/>
  <c r="L342" i="3" a="1"/>
  <c r="L342" i="3" s="1"/>
  <c r="J342" i="3" a="1"/>
  <c r="J342" i="3" s="1"/>
  <c r="L152" i="3" a="1"/>
  <c r="L152" i="3" s="1"/>
  <c r="K152" i="3" a="1"/>
  <c r="K152" i="3" s="1"/>
  <c r="M548" i="3" a="1"/>
  <c r="M548" i="3" s="1"/>
  <c r="L548" i="3" a="1"/>
  <c r="L548" i="3" s="1"/>
  <c r="K548" i="3" a="1"/>
  <c r="K548" i="3" s="1"/>
  <c r="F548" i="3" a="1"/>
  <c r="F548" i="3" s="1"/>
  <c r="J548" i="3" a="1"/>
  <c r="J548" i="3" s="1"/>
  <c r="AY325" i="5"/>
  <c r="AX325" i="5"/>
  <c r="J341" i="3" a="1"/>
  <c r="J341" i="3" s="1"/>
  <c r="M341" i="3" a="1"/>
  <c r="M341" i="3" s="1"/>
  <c r="M148" i="3" a="1"/>
  <c r="M148" i="3" s="1"/>
  <c r="L341" i="3" a="1"/>
  <c r="L341" i="3" s="1"/>
  <c r="F341" i="3" a="1"/>
  <c r="F341" i="3" s="1"/>
  <c r="K341" i="3" a="1"/>
  <c r="K341" i="3" s="1"/>
  <c r="J148" i="3" a="1"/>
  <c r="J148" i="3" s="1"/>
  <c r="F148" i="3" a="1"/>
  <c r="F148" i="3" s="1"/>
  <c r="M632" i="3" a="1"/>
  <c r="M632" i="3" s="1"/>
  <c r="L632" i="3" a="1"/>
  <c r="L632" i="3" s="1"/>
  <c r="K632" i="3" a="1"/>
  <c r="K632" i="3" s="1"/>
  <c r="J632" i="3" a="1"/>
  <c r="J632" i="3" s="1"/>
  <c r="F632" i="3" a="1"/>
  <c r="F632" i="3" s="1"/>
  <c r="L156" i="3" a="1"/>
  <c r="L156" i="3" s="1"/>
  <c r="M156" i="3" a="1"/>
  <c r="M156" i="3" s="1"/>
  <c r="F156" i="3" a="1"/>
  <c r="F156" i="3" s="1"/>
  <c r="J156" i="3" a="1"/>
  <c r="J156" i="3" s="1"/>
  <c r="K156" i="3" a="1"/>
  <c r="K156" i="3" s="1"/>
  <c r="J25" i="3" a="1"/>
  <c r="J25" i="3" s="1"/>
  <c r="F25" i="3" a="1"/>
  <c r="F25" i="3" s="1"/>
  <c r="L25" i="3" a="1"/>
  <c r="L25" i="3" s="1"/>
  <c r="K25" i="3" a="1"/>
  <c r="K25" i="3" s="1"/>
  <c r="J250" i="3" a="1"/>
  <c r="J250" i="3" s="1"/>
  <c r="F250" i="3" a="1"/>
  <c r="F250" i="3" s="1"/>
  <c r="K154" i="3" a="1"/>
  <c r="K154" i="3" s="1"/>
  <c r="M250" i="3" a="1"/>
  <c r="M250" i="3" s="1"/>
  <c r="L154" i="3" a="1"/>
  <c r="L154" i="3" s="1"/>
  <c r="J154" i="3" a="1"/>
  <c r="J154" i="3" s="1"/>
  <c r="L250" i="3" a="1"/>
  <c r="L250" i="3" s="1"/>
  <c r="K250" i="3" a="1"/>
  <c r="K250" i="3" s="1"/>
  <c r="F154" i="3" a="1"/>
  <c r="F154" i="3" s="1"/>
  <c r="M154" i="3" a="1"/>
  <c r="M154" i="3" s="1"/>
  <c r="F426" i="3" a="1"/>
  <c r="F426" i="3" s="1"/>
  <c r="K426" i="3" a="1"/>
  <c r="K426" i="3" s="1"/>
  <c r="J426" i="3" a="1"/>
  <c r="J426" i="3" s="1"/>
  <c r="M426" i="3" a="1"/>
  <c r="M426" i="3" s="1"/>
  <c r="L426" i="3" a="1"/>
  <c r="L426" i="3" s="1"/>
  <c r="L631" i="3" a="1"/>
  <c r="L631" i="3" s="1"/>
  <c r="K631" i="3" a="1"/>
  <c r="K631" i="3" s="1"/>
  <c r="J631" i="3" a="1"/>
  <c r="J631" i="3" s="1"/>
  <c r="F631" i="3" a="1"/>
  <c r="F631" i="3" s="1"/>
  <c r="M631" i="3" a="1"/>
  <c r="M631" i="3" s="1"/>
  <c r="AD317" i="5"/>
  <c r="AQ325" i="5"/>
  <c r="BE325" i="5"/>
  <c r="BQ325" i="5"/>
  <c r="BP325" i="5"/>
  <c r="BL325" i="5"/>
  <c r="BH325" i="5"/>
  <c r="BD325" i="5"/>
  <c r="AZ325" i="5"/>
  <c r="AV325" i="5"/>
  <c r="AR325" i="5"/>
  <c r="BO325" i="5"/>
  <c r="BI325" i="5"/>
  <c r="BT325" i="5"/>
  <c r="BU325" i="5"/>
  <c r="AW325" i="5"/>
  <c r="BB325" i="5"/>
  <c r="BK325" i="5"/>
  <c r="BC325" i="5"/>
  <c r="AU325" i="5"/>
  <c r="BG325" i="5"/>
  <c r="AJ317" i="5"/>
  <c r="AB317" i="5"/>
  <c r="AI317" i="5"/>
  <c r="AA317" i="5"/>
  <c r="AH317" i="5"/>
  <c r="Z317" i="5"/>
  <c r="AO317" i="5"/>
  <c r="AG317" i="5"/>
  <c r="Y317" i="5"/>
  <c r="AL317" i="5"/>
  <c r="AN317" i="5"/>
  <c r="AF317" i="5"/>
  <c r="X317" i="5"/>
  <c r="AM317" i="5"/>
  <c r="AE317" i="5"/>
  <c r="AA275" i="5"/>
  <c r="AE113" i="5"/>
  <c r="W113" i="5"/>
  <c r="N113" i="5"/>
  <c r="AC113" i="5"/>
  <c r="BL194" i="5"/>
  <c r="X113" i="5"/>
  <c r="H186" i="5"/>
  <c r="V113" i="5"/>
  <c r="AL113" i="5"/>
  <c r="BI123" i="5"/>
  <c r="AA139" i="5"/>
  <c r="AU194" i="5"/>
  <c r="AN143" i="5"/>
  <c r="AT194" i="5"/>
  <c r="AH275" i="5"/>
  <c r="AN113" i="5"/>
  <c r="H139" i="5"/>
  <c r="AN275" i="5"/>
  <c r="Z275" i="5"/>
  <c r="AM113" i="5"/>
  <c r="S139" i="5"/>
  <c r="BB167" i="5"/>
  <c r="AC275" i="5"/>
  <c r="AF113" i="5"/>
  <c r="BT194" i="5"/>
  <c r="AJ113" i="5"/>
  <c r="AI113" i="5"/>
  <c r="P113" i="5"/>
  <c r="AK113" i="5"/>
  <c r="AB113" i="5"/>
  <c r="O113" i="5"/>
  <c r="L113" i="5"/>
  <c r="AA113" i="5"/>
  <c r="K113" i="5"/>
  <c r="T113" i="5"/>
  <c r="S113" i="5"/>
  <c r="AG113" i="5"/>
  <c r="AZ123" i="5"/>
  <c r="P147" i="5"/>
  <c r="J147" i="5"/>
  <c r="AO113" i="5"/>
  <c r="BQ123" i="5"/>
  <c r="O147" i="5"/>
  <c r="I147" i="5"/>
  <c r="AG143" i="5"/>
  <c r="K139" i="5"/>
  <c r="BG163" i="5"/>
  <c r="AM147" i="5"/>
  <c r="P143" i="5"/>
  <c r="AO275" i="5"/>
  <c r="AD113" i="5"/>
  <c r="U113" i="5"/>
  <c r="Q113" i="5"/>
  <c r="M113" i="5"/>
  <c r="I113" i="5"/>
  <c r="Y113" i="5"/>
  <c r="H147" i="5"/>
  <c r="AQ171" i="5"/>
  <c r="BF167" i="5"/>
  <c r="AW163" i="5"/>
  <c r="AI275" i="5"/>
  <c r="BI167" i="5"/>
  <c r="Z186" i="5"/>
  <c r="BH194" i="5"/>
  <c r="AN186" i="5"/>
  <c r="X275" i="5"/>
  <c r="AL275" i="5"/>
  <c r="AD275" i="5"/>
  <c r="AB186" i="5"/>
  <c r="AK275" i="5"/>
  <c r="BG171" i="5"/>
  <c r="AR194" i="5"/>
  <c r="AJ275" i="5"/>
  <c r="AB275" i="5"/>
  <c r="AH113" i="5"/>
  <c r="Z113" i="5"/>
  <c r="R113" i="5"/>
  <c r="J113" i="5"/>
  <c r="H113" i="5"/>
  <c r="N147" i="5"/>
  <c r="BP123" i="5"/>
  <c r="BE123" i="5"/>
  <c r="X143" i="5"/>
  <c r="BU123" i="5"/>
  <c r="AX123" i="5"/>
  <c r="O143" i="5"/>
  <c r="Q139" i="5"/>
  <c r="BG167" i="5"/>
  <c r="AZ167" i="5"/>
  <c r="BK163" i="5"/>
  <c r="BA123" i="5"/>
  <c r="AW123" i="5"/>
  <c r="AR123" i="5"/>
  <c r="AU163" i="5"/>
  <c r="AD147" i="5"/>
  <c r="BO163" i="5"/>
  <c r="BM123" i="5"/>
  <c r="BB123" i="5"/>
  <c r="AV123" i="5"/>
  <c r="AS163" i="5"/>
  <c r="BR123" i="5"/>
  <c r="H132" i="5"/>
  <c r="H143" i="5"/>
  <c r="AO147" i="5"/>
  <c r="AY167" i="5"/>
  <c r="AS123" i="5"/>
  <c r="BF123" i="5"/>
  <c r="M147" i="5"/>
  <c r="BC171" i="5"/>
  <c r="BQ167" i="5"/>
  <c r="BJ167" i="5"/>
  <c r="AT167" i="5"/>
  <c r="BC163" i="5"/>
  <c r="BU163" i="5"/>
  <c r="BQ163" i="5"/>
  <c r="BM163" i="5"/>
  <c r="BI163" i="5"/>
  <c r="BE163" i="5"/>
  <c r="BA163" i="5"/>
  <c r="BK123" i="5"/>
  <c r="BJ123" i="5"/>
  <c r="AI147" i="5"/>
  <c r="Q147" i="5"/>
  <c r="L147" i="5"/>
  <c r="AH143" i="5"/>
  <c r="L143" i="5"/>
  <c r="O139" i="5"/>
  <c r="Y139" i="5"/>
  <c r="U139" i="5"/>
  <c r="M139" i="5"/>
  <c r="I139" i="5"/>
  <c r="AN132" i="5"/>
  <c r="AF132" i="5"/>
  <c r="X132" i="5"/>
  <c r="P132" i="5"/>
  <c r="BR167" i="5"/>
  <c r="BS163" i="5"/>
  <c r="AX156" i="5"/>
  <c r="AJ186" i="5"/>
  <c r="AV194" i="5"/>
  <c r="BN123" i="5"/>
  <c r="U147" i="5"/>
  <c r="AO143" i="5"/>
  <c r="AI143" i="5"/>
  <c r="AC143" i="5"/>
  <c r="W143" i="5"/>
  <c r="K143" i="5"/>
  <c r="AE139" i="5"/>
  <c r="BM171" i="5"/>
  <c r="BH171" i="5"/>
  <c r="AR171" i="5"/>
  <c r="AX167" i="5"/>
  <c r="AR167" i="5"/>
  <c r="AQ163" i="5"/>
  <c r="BS156" i="5"/>
  <c r="BK156" i="5"/>
  <c r="BC156" i="5"/>
  <c r="AU156" i="5"/>
  <c r="AD186" i="5"/>
  <c r="AH147" i="5"/>
  <c r="Y147" i="5"/>
  <c r="K147" i="5"/>
  <c r="AB143" i="5"/>
  <c r="V143" i="5"/>
  <c r="J143" i="5"/>
  <c r="AS171" i="5"/>
  <c r="BS167" i="5"/>
  <c r="BN167" i="5"/>
  <c r="BC167" i="5"/>
  <c r="AC147" i="5"/>
  <c r="U143" i="5"/>
  <c r="I143" i="5"/>
  <c r="AI139" i="5"/>
  <c r="BL171" i="5"/>
  <c r="AV171" i="5"/>
  <c r="AW167" i="5"/>
  <c r="AQ167" i="5"/>
  <c r="AY163" i="5"/>
  <c r="W186" i="5"/>
  <c r="AU123" i="5"/>
  <c r="AT123" i="5"/>
  <c r="AG147" i="5"/>
  <c r="W139" i="5"/>
  <c r="BK171" i="5"/>
  <c r="AU171" i="5"/>
  <c r="BH167" i="5"/>
  <c r="AK147" i="5"/>
  <c r="AF143" i="5"/>
  <c r="N143" i="5"/>
  <c r="AM139" i="5"/>
  <c r="AW171" i="5"/>
  <c r="BM167" i="5"/>
  <c r="BA167" i="5"/>
  <c r="AL186" i="5"/>
  <c r="BN194" i="5"/>
  <c r="BN156" i="5"/>
  <c r="BF156" i="5"/>
  <c r="AS194" i="5"/>
  <c r="AM275" i="5"/>
  <c r="AF275" i="5"/>
  <c r="AE275" i="5"/>
  <c r="AX194" i="5"/>
  <c r="AG275" i="5"/>
  <c r="BI194" i="5"/>
  <c r="W275" i="5"/>
  <c r="BS194" i="5"/>
  <c r="BO194" i="5"/>
  <c r="BK194" i="5"/>
  <c r="BC194" i="5"/>
  <c r="AY194" i="5"/>
  <c r="BA194" i="5"/>
  <c r="BD194" i="5"/>
  <c r="AZ194" i="5"/>
  <c r="BF194" i="5"/>
  <c r="BR194" i="5"/>
  <c r="BJ194" i="5"/>
  <c r="BB194" i="5"/>
  <c r="BP194" i="5"/>
  <c r="BU194" i="5"/>
  <c r="BM194" i="5"/>
  <c r="BE194" i="5"/>
  <c r="AW194" i="5"/>
  <c r="BQ194" i="5"/>
  <c r="U186" i="5"/>
  <c r="AK186" i="5"/>
  <c r="AC186" i="5"/>
  <c r="AH186" i="5"/>
  <c r="M186" i="5"/>
  <c r="AG186" i="5"/>
  <c r="T186" i="5"/>
  <c r="P186" i="5"/>
  <c r="L186" i="5"/>
  <c r="Y186" i="5"/>
  <c r="AF186" i="5"/>
  <c r="X186" i="5"/>
  <c r="S186" i="5"/>
  <c r="O186" i="5"/>
  <c r="K186" i="5"/>
  <c r="Q186" i="5"/>
  <c r="AM186" i="5"/>
  <c r="AI186" i="5"/>
  <c r="AE186" i="5"/>
  <c r="AA186" i="5"/>
  <c r="V186" i="5"/>
  <c r="R186" i="5"/>
  <c r="N186" i="5"/>
  <c r="J186" i="5"/>
  <c r="AO186" i="5"/>
  <c r="I186" i="5"/>
  <c r="BR171" i="5"/>
  <c r="BB171" i="5"/>
  <c r="BQ171" i="5"/>
  <c r="BA171" i="5"/>
  <c r="BF171" i="5"/>
  <c r="BL167" i="5"/>
  <c r="AV167" i="5"/>
  <c r="BP171" i="5"/>
  <c r="BE171" i="5"/>
  <c r="AZ171" i="5"/>
  <c r="BU171" i="5"/>
  <c r="BO171" i="5"/>
  <c r="BJ171" i="5"/>
  <c r="AY171" i="5"/>
  <c r="AT171" i="5"/>
  <c r="BP167" i="5"/>
  <c r="BT171" i="5"/>
  <c r="BI171" i="5"/>
  <c r="BD171" i="5"/>
  <c r="BU167" i="5"/>
  <c r="BE167" i="5"/>
  <c r="BS171" i="5"/>
  <c r="BN171" i="5"/>
  <c r="AX171" i="5"/>
  <c r="BT167" i="5"/>
  <c r="BO167" i="5"/>
  <c r="BD167" i="5"/>
  <c r="AS167" i="5"/>
  <c r="BK167" i="5"/>
  <c r="BR156" i="5"/>
  <c r="BJ156" i="5"/>
  <c r="BB156" i="5"/>
  <c r="AT156" i="5"/>
  <c r="BQ156" i="5"/>
  <c r="BI156" i="5"/>
  <c r="BA156" i="5"/>
  <c r="AS156" i="5"/>
  <c r="BR163" i="5"/>
  <c r="BN163" i="5"/>
  <c r="BJ163" i="5"/>
  <c r="BF163" i="5"/>
  <c r="BB163" i="5"/>
  <c r="AX163" i="5"/>
  <c r="AT163" i="5"/>
  <c r="BP156" i="5"/>
  <c r="BH156" i="5"/>
  <c r="AZ156" i="5"/>
  <c r="AR156" i="5"/>
  <c r="BO156" i="5"/>
  <c r="BG156" i="5"/>
  <c r="AY156" i="5"/>
  <c r="AQ156" i="5"/>
  <c r="AU167" i="5"/>
  <c r="BU156" i="5"/>
  <c r="BM156" i="5"/>
  <c r="BE156" i="5"/>
  <c r="AW156" i="5"/>
  <c r="BT163" i="5"/>
  <c r="BP163" i="5"/>
  <c r="BL163" i="5"/>
  <c r="BH163" i="5"/>
  <c r="BD163" i="5"/>
  <c r="AZ163" i="5"/>
  <c r="AV163" i="5"/>
  <c r="AR163" i="5"/>
  <c r="BT156" i="5"/>
  <c r="BL156" i="5"/>
  <c r="BD156" i="5"/>
  <c r="AV156" i="5"/>
  <c r="T147" i="5"/>
  <c r="AL147" i="5"/>
  <c r="X147" i="5"/>
  <c r="AA143" i="5"/>
  <c r="AB147" i="5"/>
  <c r="S147" i="5"/>
  <c r="R143" i="5"/>
  <c r="AM143" i="5"/>
  <c r="Z143" i="5"/>
  <c r="T143" i="5"/>
  <c r="AF147" i="5"/>
  <c r="W147" i="5"/>
  <c r="Y143" i="5"/>
  <c r="S143" i="5"/>
  <c r="AJ147" i="5"/>
  <c r="AA147" i="5"/>
  <c r="R147" i="5"/>
  <c r="AL143" i="5"/>
  <c r="AE143" i="5"/>
  <c r="AG139" i="5"/>
  <c r="AN147" i="5"/>
  <c r="AE147" i="5"/>
  <c r="V147" i="5"/>
  <c r="AK143" i="5"/>
  <c r="Q143" i="5"/>
  <c r="Z147" i="5"/>
  <c r="AJ143" i="5"/>
  <c r="AD143" i="5"/>
  <c r="AO139" i="5"/>
  <c r="AK139" i="5"/>
  <c r="AC139" i="5"/>
  <c r="M143" i="5"/>
  <c r="AL139" i="5"/>
  <c r="AH139" i="5"/>
  <c r="AD139" i="5"/>
  <c r="Z139" i="5"/>
  <c r="V139" i="5"/>
  <c r="R139" i="5"/>
  <c r="N139" i="5"/>
  <c r="J139" i="5"/>
  <c r="AI132" i="5"/>
  <c r="AA132" i="5"/>
  <c r="S132" i="5"/>
  <c r="K132" i="5"/>
  <c r="AH132" i="5"/>
  <c r="Z132" i="5"/>
  <c r="R132" i="5"/>
  <c r="J132" i="5"/>
  <c r="AO132" i="5"/>
  <c r="AG132" i="5"/>
  <c r="Y132" i="5"/>
  <c r="Q132" i="5"/>
  <c r="I132" i="5"/>
  <c r="AN139" i="5"/>
  <c r="AJ139" i="5"/>
  <c r="AF139" i="5"/>
  <c r="AB139" i="5"/>
  <c r="X139" i="5"/>
  <c r="T139" i="5"/>
  <c r="P139" i="5"/>
  <c r="L139" i="5"/>
  <c r="AM132" i="5"/>
  <c r="AE132" i="5"/>
  <c r="W132" i="5"/>
  <c r="O132" i="5"/>
  <c r="AL132" i="5"/>
  <c r="AD132" i="5"/>
  <c r="V132" i="5"/>
  <c r="N132" i="5"/>
  <c r="AK132" i="5"/>
  <c r="AC132" i="5"/>
  <c r="U132" i="5"/>
  <c r="M132" i="5"/>
  <c r="AJ132" i="5"/>
  <c r="AB132" i="5"/>
  <c r="T132" i="5"/>
  <c r="L132" i="5"/>
  <c r="AQ123" i="5"/>
  <c r="BO123" i="5"/>
  <c r="BS123" i="5"/>
  <c r="BD123" i="5"/>
  <c r="BH123" i="5"/>
  <c r="AY123" i="5"/>
  <c r="BL123" i="5"/>
  <c r="BG123" i="5"/>
  <c r="BC123" i="5"/>
  <c r="BT123" i="5"/>
  <c r="Y57" i="5"/>
  <c r="H53" i="5"/>
  <c r="AB57" i="5"/>
  <c r="H87" i="5"/>
  <c r="L57" i="5"/>
  <c r="AE57" i="5"/>
  <c r="AR99" i="5"/>
  <c r="M57" i="5"/>
  <c r="X57" i="5"/>
  <c r="R53" i="5"/>
  <c r="H57" i="5"/>
  <c r="K57" i="5"/>
  <c r="J53" i="5"/>
  <c r="I53" i="5"/>
  <c r="BF99" i="5"/>
  <c r="I57" i="5"/>
  <c r="O57" i="5"/>
  <c r="U53" i="5"/>
  <c r="H32" i="5"/>
  <c r="AJ53" i="5"/>
  <c r="Y53" i="5"/>
  <c r="W57" i="5"/>
  <c r="N57" i="5"/>
  <c r="J57" i="5"/>
  <c r="AK57" i="5"/>
  <c r="Q57" i="5"/>
  <c r="AA57" i="5"/>
  <c r="R57" i="5"/>
  <c r="AC53" i="5"/>
  <c r="S53" i="5"/>
  <c r="U57" i="5"/>
  <c r="V57" i="5"/>
  <c r="M53" i="5"/>
  <c r="AO32" i="5"/>
  <c r="AC32" i="5"/>
  <c r="I32" i="5"/>
  <c r="AO57" i="5"/>
  <c r="AI57" i="5"/>
  <c r="Z57" i="5"/>
  <c r="AD53" i="5"/>
  <c r="AG53" i="5"/>
  <c r="AG57" i="5"/>
  <c r="S57" i="5"/>
  <c r="AM57" i="5"/>
  <c r="AD57" i="5"/>
  <c r="P57" i="5"/>
  <c r="N53" i="5"/>
  <c r="AF53" i="5"/>
  <c r="AA53" i="5"/>
  <c r="Q53" i="5"/>
  <c r="L53" i="5"/>
  <c r="AC57" i="5"/>
  <c r="AH57" i="5"/>
  <c r="AM32" i="5"/>
  <c r="AL57" i="5"/>
  <c r="Z53" i="5"/>
  <c r="BP99" i="5"/>
  <c r="BO99" i="5"/>
  <c r="AL87" i="5"/>
  <c r="AW99" i="5"/>
  <c r="T87" i="5"/>
  <c r="AU99" i="5"/>
  <c r="AC87" i="5"/>
  <c r="K87" i="5"/>
  <c r="BS99" i="5"/>
  <c r="BA99" i="5"/>
  <c r="AK87" i="5"/>
  <c r="AQ99" i="5"/>
  <c r="AH87" i="5"/>
  <c r="BJ99" i="5"/>
  <c r="M87" i="5"/>
  <c r="Z87" i="5"/>
  <c r="J87" i="5"/>
  <c r="BI99" i="5"/>
  <c r="BD99" i="5"/>
  <c r="BM99" i="5"/>
  <c r="BH99" i="5"/>
  <c r="AY99" i="5"/>
  <c r="BR99" i="5"/>
  <c r="BQ99" i="5"/>
  <c r="BL99" i="5"/>
  <c r="BC99" i="5"/>
  <c r="BU99" i="5"/>
  <c r="BG99" i="5"/>
  <c r="AX99" i="5"/>
  <c r="BB99" i="5"/>
  <c r="AV99" i="5"/>
  <c r="BN99" i="5"/>
  <c r="BE99" i="5"/>
  <c r="AZ99" i="5"/>
  <c r="AT99" i="5"/>
  <c r="BT99" i="5"/>
  <c r="BK99" i="5"/>
  <c r="AS99" i="5"/>
  <c r="O87" i="5"/>
  <c r="AG87" i="5"/>
  <c r="AB87" i="5"/>
  <c r="S87" i="5"/>
  <c r="AF87" i="5"/>
  <c r="W87" i="5"/>
  <c r="N87" i="5"/>
  <c r="R87" i="5"/>
  <c r="AO87" i="5"/>
  <c r="AJ87" i="5"/>
  <c r="AA87" i="5"/>
  <c r="I87" i="5"/>
  <c r="Y87" i="5"/>
  <c r="AN87" i="5"/>
  <c r="AE87" i="5"/>
  <c r="V87" i="5"/>
  <c r="AI87" i="5"/>
  <c r="Q87" i="5"/>
  <c r="L87" i="5"/>
  <c r="X87" i="5"/>
  <c r="AM87" i="5"/>
  <c r="AD87" i="5"/>
  <c r="U87" i="5"/>
  <c r="P87" i="5"/>
  <c r="AE53" i="5"/>
  <c r="AN53" i="5"/>
  <c r="AI53" i="5"/>
  <c r="AM53" i="5"/>
  <c r="AH53" i="5"/>
  <c r="K53" i="5"/>
  <c r="AF57" i="5"/>
  <c r="AL53" i="5"/>
  <c r="P53" i="5"/>
  <c r="AJ57" i="5"/>
  <c r="T53" i="5"/>
  <c r="O53" i="5"/>
  <c r="AN57" i="5"/>
  <c r="X53" i="5"/>
  <c r="AO53" i="5"/>
  <c r="V53" i="5"/>
  <c r="AK53" i="5"/>
  <c r="AB53" i="5"/>
  <c r="W53" i="5"/>
  <c r="AK32" i="5"/>
  <c r="AG32" i="5"/>
  <c r="Y32" i="5"/>
  <c r="U32" i="5"/>
  <c r="Q32" i="5"/>
  <c r="M32" i="5"/>
  <c r="AH32" i="5"/>
  <c r="AA32" i="5"/>
  <c r="AN32" i="5"/>
  <c r="AJ32" i="5"/>
  <c r="AF32" i="5"/>
  <c r="AB32" i="5"/>
  <c r="X32" i="5"/>
  <c r="T32" i="5"/>
  <c r="P32" i="5"/>
  <c r="L32" i="5"/>
  <c r="Z32" i="5"/>
  <c r="AE32" i="5"/>
  <c r="O32" i="5"/>
  <c r="R32" i="5"/>
  <c r="K32" i="5"/>
  <c r="AL32" i="5"/>
  <c r="AD32" i="5"/>
  <c r="V32" i="5"/>
  <c r="N32" i="5"/>
  <c r="J32" i="5"/>
  <c r="S32" i="5"/>
  <c r="W32" i="5"/>
  <c r="AI32" i="5"/>
  <c r="AI550" i="3" l="1"/>
  <c r="AI10" i="3"/>
  <c r="AI9" i="3"/>
  <c r="AO552" i="3" a="1"/>
  <c r="AO552" i="3" s="1"/>
  <c r="AN552" i="3" a="1"/>
  <c r="AN552" i="3" s="1"/>
  <c r="AL552" i="3" a="1"/>
  <c r="AL552" i="3" s="1"/>
  <c r="AM552" i="3" a="1"/>
  <c r="AM552" i="3" s="1"/>
  <c r="AI631" i="3"/>
  <c r="AI633" i="3"/>
  <c r="AI549" i="3"/>
  <c r="AI634" i="3"/>
  <c r="AI632" i="3"/>
  <c r="AI548" i="3"/>
  <c r="AI427" i="3"/>
  <c r="AI426" i="3"/>
  <c r="AI715" i="3"/>
  <c r="AI716" i="3"/>
  <c r="AI425" i="3"/>
  <c r="AI551" i="3"/>
  <c r="AO428" i="3" a="1"/>
  <c r="AO428" i="3" s="1"/>
  <c r="AN428" i="3" a="1"/>
  <c r="AN428" i="3" s="1"/>
  <c r="AL428" i="3" a="1"/>
  <c r="AL428" i="3" s="1"/>
  <c r="AM428" i="3" a="1"/>
  <c r="AM428" i="3" s="1"/>
  <c r="AL251" i="3" a="1"/>
  <c r="AL251" i="3" s="1"/>
  <c r="AM141" i="6" a="1"/>
  <c r="AM141" i="6" s="1"/>
  <c r="AM251" i="3" a="1"/>
  <c r="AM251" i="3" s="1"/>
  <c r="AN141" i="6" a="1"/>
  <c r="AN141" i="6" s="1"/>
  <c r="AN252" i="3" a="1"/>
  <c r="AN252" i="3" s="1"/>
  <c r="AO252" i="3" a="1"/>
  <c r="AO252" i="3" s="1"/>
  <c r="AM252" i="3" a="1"/>
  <c r="AM252" i="3" s="1"/>
  <c r="AL252" i="3" a="1"/>
  <c r="AL252" i="3" s="1"/>
  <c r="AN251" i="3" a="1"/>
  <c r="AN251" i="3" s="1"/>
  <c r="AO251" i="3" a="1"/>
  <c r="AO251" i="3" s="1"/>
  <c r="AN295" i="6" a="1"/>
  <c r="AN295" i="6" s="1"/>
  <c r="AM295" i="6" a="1"/>
  <c r="AM295" i="6" s="1"/>
  <c r="AI11" i="3"/>
  <c r="AI13" i="3"/>
  <c r="AJ293" i="6"/>
  <c r="AJ294" i="6"/>
  <c r="AJ291" i="6"/>
  <c r="AI22" i="3"/>
  <c r="AJ292" i="6"/>
  <c r="AI251" i="3"/>
  <c r="AI248" i="3"/>
  <c r="AI255" i="3"/>
  <c r="AI253" i="3"/>
  <c r="AI256" i="3"/>
  <c r="AI250" i="3"/>
  <c r="AI249" i="3"/>
  <c r="AI252" i="3"/>
  <c r="AI254" i="3"/>
  <c r="AI24" i="3"/>
  <c r="AI23" i="3"/>
  <c r="AI21" i="3"/>
  <c r="M61" i="5"/>
  <c r="AO155" i="3" a="1"/>
  <c r="AO155" i="3" s="1"/>
  <c r="AN155" i="3" a="1"/>
  <c r="AN155" i="3" s="1"/>
  <c r="AM155" i="3" a="1"/>
  <c r="AM155" i="3" s="1"/>
  <c r="AL155" i="3" a="1"/>
  <c r="AL155" i="3" s="1"/>
  <c r="AH155" i="3" a="1"/>
  <c r="AH155" i="3" s="1"/>
  <c r="AH344" i="3" a="1"/>
  <c r="AH344" i="3" s="1"/>
  <c r="AO344" i="3" a="1"/>
  <c r="AO344" i="3" s="1"/>
  <c r="AN344" i="3" a="1"/>
  <c r="AN344" i="3" s="1"/>
  <c r="AM344" i="3" a="1"/>
  <c r="AM344" i="3" s="1"/>
  <c r="AL344" i="3" a="1"/>
  <c r="AL344" i="3" s="1"/>
  <c r="AI342" i="3"/>
  <c r="AI343" i="3"/>
  <c r="AI341" i="3"/>
  <c r="AI345" i="3"/>
  <c r="AI153" i="3"/>
  <c r="AI148" i="3"/>
  <c r="AI151" i="3"/>
  <c r="AI152" i="3"/>
  <c r="AI154" i="3"/>
  <c r="AI149" i="3"/>
  <c r="AI150" i="3"/>
  <c r="AI156" i="3"/>
  <c r="AI25" i="3"/>
  <c r="F295" i="6" a="1"/>
  <c r="F295" i="6" s="1"/>
  <c r="AJ295" i="6" s="1"/>
  <c r="J295" i="6" a="1"/>
  <c r="J295" i="6" s="1"/>
  <c r="K295" i="6" a="1"/>
  <c r="K295" i="6" s="1"/>
  <c r="P61" i="5"/>
  <c r="K152" i="5"/>
  <c r="AQ176" i="5"/>
  <c r="J141" i="6" a="1"/>
  <c r="J141" i="6" s="1"/>
  <c r="F141" i="6" a="1"/>
  <c r="F141" i="6" s="1"/>
  <c r="K141" i="6" a="1"/>
  <c r="K141" i="6" s="1"/>
  <c r="BC176" i="5"/>
  <c r="N61" i="5"/>
  <c r="AB61" i="5"/>
  <c r="AI152" i="5"/>
  <c r="BS176" i="5"/>
  <c r="I61" i="5"/>
  <c r="L552" i="3" a="1"/>
  <c r="L552" i="3" s="1"/>
  <c r="F552" i="3" a="1"/>
  <c r="F552" i="3" s="1"/>
  <c r="AI552" i="3" s="1"/>
  <c r="M552" i="3" a="1"/>
  <c r="M552" i="3" s="1"/>
  <c r="K552" i="3" a="1"/>
  <c r="K552" i="3" s="1"/>
  <c r="J552" i="3" a="1"/>
  <c r="J552" i="3" s="1"/>
  <c r="J428" i="3" a="1"/>
  <c r="J428" i="3" s="1"/>
  <c r="M428" i="3" a="1"/>
  <c r="M428" i="3" s="1"/>
  <c r="K428" i="3" a="1"/>
  <c r="K428" i="3" s="1"/>
  <c r="L428" i="3" a="1"/>
  <c r="L428" i="3" s="1"/>
  <c r="F428" i="3" a="1"/>
  <c r="F428" i="3" s="1"/>
  <c r="AI428" i="3" s="1"/>
  <c r="L251" i="3" a="1"/>
  <c r="L251" i="3" s="1"/>
  <c r="F251" i="3" a="1"/>
  <c r="F251" i="3" s="1"/>
  <c r="M251" i="3" a="1"/>
  <c r="M251" i="3" s="1"/>
  <c r="J251" i="3" a="1"/>
  <c r="J251" i="3" s="1"/>
  <c r="K251" i="3" a="1"/>
  <c r="K251" i="3" s="1"/>
  <c r="K252" i="3" a="1"/>
  <c r="K252" i="3" s="1"/>
  <c r="J252" i="3" a="1"/>
  <c r="J252" i="3" s="1"/>
  <c r="M252" i="3" a="1"/>
  <c r="M252" i="3" s="1"/>
  <c r="L252" i="3" a="1"/>
  <c r="L252" i="3" s="1"/>
  <c r="F252" i="3" a="1"/>
  <c r="F252" i="3" s="1"/>
  <c r="M344" i="3" a="1"/>
  <c r="M344" i="3" s="1"/>
  <c r="J344" i="3" a="1"/>
  <c r="J344" i="3" s="1"/>
  <c r="L344" i="3" a="1"/>
  <c r="L344" i="3" s="1"/>
  <c r="F344" i="3" a="1"/>
  <c r="F344" i="3" s="1"/>
  <c r="K344" i="3" a="1"/>
  <c r="K344" i="3" s="1"/>
  <c r="AK61" i="5"/>
  <c r="M155" i="3" a="1"/>
  <c r="M155" i="3" s="1"/>
  <c r="K155" i="3" a="1"/>
  <c r="K155" i="3" s="1"/>
  <c r="J155" i="3" a="1"/>
  <c r="J155" i="3" s="1"/>
  <c r="L155" i="3" a="1"/>
  <c r="L155" i="3" s="1"/>
  <c r="F155" i="3" a="1"/>
  <c r="F155" i="3" s="1"/>
  <c r="P152" i="5"/>
  <c r="AB152" i="5"/>
  <c r="AS176" i="5"/>
  <c r="AC152" i="5"/>
  <c r="AN152" i="5"/>
  <c r="I152" i="5"/>
  <c r="Q152" i="5"/>
  <c r="AD152" i="5"/>
  <c r="H152" i="5"/>
  <c r="O152" i="5"/>
  <c r="BH176" i="5"/>
  <c r="W152" i="5"/>
  <c r="AF152" i="5"/>
  <c r="BG176" i="5"/>
  <c r="AL152" i="5"/>
  <c r="AA152" i="5"/>
  <c r="AW176" i="5"/>
  <c r="BO176" i="5"/>
  <c r="BF176" i="5"/>
  <c r="AT176" i="5"/>
  <c r="AR176" i="5"/>
  <c r="BB176" i="5"/>
  <c r="AX176" i="5"/>
  <c r="BN176" i="5"/>
  <c r="AE152" i="5"/>
  <c r="V152" i="5"/>
  <c r="BU176" i="5"/>
  <c r="BR176" i="5"/>
  <c r="L61" i="5"/>
  <c r="Y61" i="5"/>
  <c r="Z152" i="5"/>
  <c r="BP176" i="5"/>
  <c r="BK176" i="5"/>
  <c r="AY176" i="5"/>
  <c r="L152" i="5"/>
  <c r="N152" i="5"/>
  <c r="BA176" i="5"/>
  <c r="AH152" i="5"/>
  <c r="BM176" i="5"/>
  <c r="AZ176" i="5"/>
  <c r="BJ176" i="5"/>
  <c r="AF61" i="5"/>
  <c r="T152" i="5"/>
  <c r="AM152" i="5"/>
  <c r="BL176" i="5"/>
  <c r="AV176" i="5"/>
  <c r="AU176" i="5"/>
  <c r="X152" i="5"/>
  <c r="S152" i="5"/>
  <c r="BD176" i="5"/>
  <c r="O61" i="5"/>
  <c r="T61" i="5"/>
  <c r="AE61" i="5"/>
  <c r="U152" i="5"/>
  <c r="J152" i="5"/>
  <c r="AJ152" i="5"/>
  <c r="R152" i="5"/>
  <c r="BT176" i="5"/>
  <c r="BE176" i="5"/>
  <c r="BI176" i="5"/>
  <c r="BQ176" i="5"/>
  <c r="AK152" i="5"/>
  <c r="Y152" i="5"/>
  <c r="AG152" i="5"/>
  <c r="M152" i="5"/>
  <c r="AO152" i="5"/>
  <c r="Q61" i="5"/>
  <c r="W61" i="5"/>
  <c r="AJ61" i="5"/>
  <c r="S61" i="5"/>
  <c r="J61" i="5"/>
  <c r="H61" i="5"/>
  <c r="V61" i="5"/>
  <c r="AD61" i="5"/>
  <c r="AM61" i="5"/>
  <c r="AI61" i="5"/>
  <c r="R61" i="5"/>
  <c r="AC61" i="5"/>
  <c r="AA61" i="5"/>
  <c r="X61" i="5"/>
  <c r="AG61" i="5"/>
  <c r="K61" i="5"/>
  <c r="AO61" i="5"/>
  <c r="AH61" i="5"/>
  <c r="U61" i="5"/>
  <c r="AL61" i="5"/>
  <c r="Z61" i="5"/>
  <c r="AN61" i="5"/>
  <c r="E740" i="3"/>
  <c r="E659" i="3"/>
  <c r="E577" i="3"/>
  <c r="E471" i="3"/>
  <c r="E368" i="3"/>
  <c r="E286" i="3"/>
  <c r="E181" i="3"/>
  <c r="AG740" i="3"/>
  <c r="AG659" i="3"/>
  <c r="AG577" i="3"/>
  <c r="AG471" i="3"/>
  <c r="AG368" i="3"/>
  <c r="AG286" i="3"/>
  <c r="AI553" i="3" l="1"/>
  <c r="AI717" i="3"/>
  <c r="AL255" i="3" a="1"/>
  <c r="AL255" i="3" s="1"/>
  <c r="AM255" i="3" a="1"/>
  <c r="AM255" i="3" s="1"/>
  <c r="AN255" i="3" a="1"/>
  <c r="AN255" i="3" s="1"/>
  <c r="AO255" i="3" a="1"/>
  <c r="AO255" i="3" s="1"/>
  <c r="AJ296" i="6"/>
  <c r="AI155" i="3"/>
  <c r="AI344" i="3"/>
  <c r="K255" i="3" a="1"/>
  <c r="K255" i="3" s="1"/>
  <c r="F255" i="3" a="1"/>
  <c r="F255" i="3" s="1"/>
  <c r="M255" i="3" a="1"/>
  <c r="M255" i="3" s="1"/>
  <c r="J255" i="3" a="1"/>
  <c r="J255" i="3" s="1"/>
  <c r="L255" i="3" a="1"/>
  <c r="L255" i="3" s="1"/>
  <c r="G326" i="5" l="1"/>
  <c r="G325" i="5"/>
  <c r="G324" i="5"/>
  <c r="G323" i="5"/>
  <c r="G322" i="5"/>
  <c r="G321" i="5"/>
  <c r="G318" i="5"/>
  <c r="G317" i="5"/>
  <c r="G316" i="5"/>
  <c r="G315" i="5"/>
  <c r="G314" i="5"/>
  <c r="G313" i="5"/>
  <c r="G308" i="5"/>
  <c r="G307" i="5"/>
  <c r="G306" i="5"/>
  <c r="G305" i="5"/>
  <c r="G302" i="5"/>
  <c r="G301" i="5"/>
  <c r="G300" i="5"/>
  <c r="G299" i="5"/>
  <c r="D298" i="5"/>
  <c r="G294" i="5"/>
  <c r="G293" i="5"/>
  <c r="G292" i="5"/>
  <c r="E292" i="5"/>
  <c r="G291" i="5"/>
  <c r="E291" i="5"/>
  <c r="G290" i="5"/>
  <c r="E290" i="5"/>
  <c r="G289" i="5"/>
  <c r="G288" i="5"/>
  <c r="G287" i="5"/>
  <c r="G286" i="5"/>
  <c r="G285" i="5"/>
  <c r="G284" i="5"/>
  <c r="E284" i="5"/>
  <c r="G283" i="5"/>
  <c r="E283" i="5"/>
  <c r="G280" i="5"/>
  <c r="G279" i="5"/>
  <c r="G278" i="5"/>
  <c r="E278" i="5"/>
  <c r="G277" i="5"/>
  <c r="E277" i="5"/>
  <c r="G276" i="5"/>
  <c r="E276" i="5"/>
  <c r="G275" i="5"/>
  <c r="G274" i="5"/>
  <c r="G273" i="5"/>
  <c r="G272" i="5"/>
  <c r="G271" i="5"/>
  <c r="G270" i="5"/>
  <c r="E270" i="5"/>
  <c r="G269" i="5"/>
  <c r="E269" i="5"/>
  <c r="D268" i="5"/>
  <c r="G261" i="5"/>
  <c r="G260" i="5"/>
  <c r="G259" i="5"/>
  <c r="G258" i="5"/>
  <c r="G257" i="5"/>
  <c r="G254" i="5"/>
  <c r="G253" i="5"/>
  <c r="G252" i="5"/>
  <c r="G251" i="5"/>
  <c r="G250" i="5"/>
  <c r="D249" i="5"/>
  <c r="G245" i="5"/>
  <c r="G244" i="5"/>
  <c r="G243" i="5"/>
  <c r="G242" i="5"/>
  <c r="G241" i="5"/>
  <c r="G240" i="5"/>
  <c r="G237" i="5"/>
  <c r="G236" i="5"/>
  <c r="G235" i="5"/>
  <c r="G234" i="5"/>
  <c r="G233" i="5"/>
  <c r="G232" i="5"/>
  <c r="D231" i="5"/>
  <c r="G223" i="5"/>
  <c r="B223" i="5"/>
  <c r="G222" i="5"/>
  <c r="B222" i="5"/>
  <c r="G221" i="5"/>
  <c r="B221" i="5"/>
  <c r="G218" i="5"/>
  <c r="G217" i="5"/>
  <c r="G216" i="5"/>
  <c r="D215" i="5"/>
  <c r="G211" i="5"/>
  <c r="B211" i="5"/>
  <c r="G210" i="5"/>
  <c r="B210" i="5"/>
  <c r="G209" i="5"/>
  <c r="B209" i="5"/>
  <c r="G208" i="5"/>
  <c r="B208" i="5"/>
  <c r="G207" i="5"/>
  <c r="B207" i="5"/>
  <c r="G204" i="5"/>
  <c r="G203" i="5"/>
  <c r="G202" i="5"/>
  <c r="G201" i="5"/>
  <c r="G200" i="5"/>
  <c r="D199" i="5"/>
  <c r="G195" i="5"/>
  <c r="B195" i="5"/>
  <c r="G194" i="5"/>
  <c r="B194" i="5"/>
  <c r="G193" i="5"/>
  <c r="B193" i="5"/>
  <c r="G192" i="5"/>
  <c r="B192" i="5"/>
  <c r="G191" i="5"/>
  <c r="B191" i="5"/>
  <c r="G190" i="5"/>
  <c r="B190" i="5"/>
  <c r="G187" i="5"/>
  <c r="G186" i="5"/>
  <c r="G185" i="5"/>
  <c r="G184" i="5"/>
  <c r="G183" i="5"/>
  <c r="G182" i="5"/>
  <c r="D181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D131" i="5"/>
  <c r="G127" i="5"/>
  <c r="B127" i="5"/>
  <c r="G126" i="5"/>
  <c r="B126" i="5"/>
  <c r="G125" i="5"/>
  <c r="B125" i="5"/>
  <c r="G124" i="5"/>
  <c r="B124" i="5"/>
  <c r="G123" i="5"/>
  <c r="B123" i="5"/>
  <c r="G122" i="5"/>
  <c r="B122" i="5"/>
  <c r="G121" i="5"/>
  <c r="B121" i="5"/>
  <c r="G120" i="5"/>
  <c r="B120" i="5"/>
  <c r="G117" i="5"/>
  <c r="G116" i="5"/>
  <c r="G115" i="5"/>
  <c r="G114" i="5"/>
  <c r="G113" i="5"/>
  <c r="G112" i="5"/>
  <c r="G111" i="5"/>
  <c r="G110" i="5"/>
  <c r="D109" i="5"/>
  <c r="G105" i="5"/>
  <c r="B105" i="5"/>
  <c r="G104" i="5"/>
  <c r="B104" i="5"/>
  <c r="G103" i="5"/>
  <c r="B103" i="5"/>
  <c r="G102" i="5"/>
  <c r="B102" i="5"/>
  <c r="G101" i="5"/>
  <c r="B101" i="5"/>
  <c r="G100" i="5"/>
  <c r="B100" i="5"/>
  <c r="G99" i="5"/>
  <c r="B99" i="5"/>
  <c r="G98" i="5"/>
  <c r="B98" i="5"/>
  <c r="G97" i="5"/>
  <c r="B97" i="5"/>
  <c r="G96" i="5"/>
  <c r="B96" i="5"/>
  <c r="G93" i="5"/>
  <c r="G92" i="5"/>
  <c r="G91" i="5"/>
  <c r="G90" i="5"/>
  <c r="G89" i="5"/>
  <c r="G88" i="5"/>
  <c r="G87" i="5"/>
  <c r="G86" i="5"/>
  <c r="G85" i="5"/>
  <c r="G84" i="5"/>
  <c r="D83" i="5"/>
  <c r="G78" i="5"/>
  <c r="B78" i="5"/>
  <c r="G77" i="5"/>
  <c r="B77" i="5"/>
  <c r="G76" i="5"/>
  <c r="B76" i="5"/>
  <c r="G75" i="5"/>
  <c r="B75" i="5"/>
  <c r="G74" i="5"/>
  <c r="B74" i="5"/>
  <c r="G73" i="5"/>
  <c r="B73" i="5"/>
  <c r="G72" i="5"/>
  <c r="B72" i="5"/>
  <c r="G71" i="5"/>
  <c r="B71" i="5"/>
  <c r="G70" i="5"/>
  <c r="B70" i="5"/>
  <c r="G69" i="5"/>
  <c r="B69" i="5"/>
  <c r="G68" i="5"/>
  <c r="B68" i="5"/>
  <c r="G67" i="5"/>
  <c r="B67" i="5"/>
  <c r="G66" i="5"/>
  <c r="B66" i="5"/>
  <c r="G65" i="5"/>
  <c r="B65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D48" i="5"/>
  <c r="G44" i="5"/>
  <c r="B44" i="5"/>
  <c r="G43" i="5"/>
  <c r="B43" i="5"/>
  <c r="G42" i="5"/>
  <c r="B42" i="5"/>
  <c r="G41" i="5"/>
  <c r="B41" i="5"/>
  <c r="G40" i="5"/>
  <c r="B40" i="5"/>
  <c r="G39" i="5"/>
  <c r="B39" i="5"/>
  <c r="G38" i="5"/>
  <c r="B38" i="5"/>
  <c r="G37" i="5"/>
  <c r="B37" i="5"/>
  <c r="G36" i="5"/>
  <c r="B36" i="5"/>
  <c r="G33" i="5"/>
  <c r="G32" i="5"/>
  <c r="G31" i="5"/>
  <c r="G30" i="5"/>
  <c r="G29" i="5"/>
  <c r="G28" i="5"/>
  <c r="G27" i="5"/>
  <c r="G26" i="5"/>
  <c r="G25" i="5"/>
  <c r="G20" i="5"/>
  <c r="D20" i="5"/>
  <c r="B20" i="5"/>
  <c r="G19" i="5"/>
  <c r="D19" i="5"/>
  <c r="B19" i="5"/>
  <c r="G18" i="5"/>
  <c r="E18" i="5"/>
  <c r="D18" i="5"/>
  <c r="B18" i="5"/>
  <c r="G17" i="5"/>
  <c r="E17" i="5"/>
  <c r="D17" i="5"/>
  <c r="B17" i="5"/>
  <c r="G16" i="5"/>
  <c r="E16" i="5"/>
  <c r="D16" i="5"/>
  <c r="B16" i="5"/>
  <c r="G15" i="5"/>
  <c r="E15" i="5"/>
  <c r="D15" i="5"/>
  <c r="B15" i="5"/>
  <c r="G14" i="5"/>
  <c r="B14" i="5"/>
  <c r="G11" i="5"/>
  <c r="G10" i="5"/>
  <c r="G9" i="5"/>
  <c r="G8" i="5"/>
  <c r="G7" i="5"/>
  <c r="G345" i="3"/>
  <c r="G6" i="5"/>
  <c r="E552" i="3"/>
  <c r="E551" i="3"/>
  <c r="E550" i="3"/>
  <c r="E549" i="3"/>
  <c r="E548" i="3"/>
  <c r="AG440" i="3"/>
  <c r="E440" i="3"/>
  <c r="AG435" i="3"/>
  <c r="E435" i="3"/>
  <c r="AG439" i="3"/>
  <c r="E439" i="3"/>
  <c r="AG437" i="3"/>
  <c r="E437" i="3"/>
  <c r="AG436" i="3"/>
  <c r="E436" i="3"/>
  <c r="AG438" i="3"/>
  <c r="E438" i="3"/>
  <c r="AG428" i="3"/>
  <c r="E428" i="3"/>
  <c r="AG425" i="3"/>
  <c r="E425" i="3"/>
  <c r="AG427" i="3"/>
  <c r="E427" i="3"/>
  <c r="AG426" i="3"/>
  <c r="E426" i="3"/>
  <c r="E343" i="3"/>
  <c r="E341" i="3"/>
  <c r="E255" i="3"/>
  <c r="E250" i="3"/>
  <c r="E252" i="3"/>
  <c r="E251" i="3"/>
  <c r="E254" i="3"/>
  <c r="E253" i="3"/>
  <c r="E248" i="3"/>
  <c r="E249" i="3"/>
  <c r="AG155" i="3"/>
  <c r="E155" i="3"/>
  <c r="AG153" i="3"/>
  <c r="E153" i="3"/>
  <c r="AG150" i="3"/>
  <c r="E150" i="3"/>
  <c r="E13" i="3"/>
  <c r="E12" i="3"/>
  <c r="E11" i="3"/>
  <c r="E10" i="3"/>
  <c r="E9" i="3"/>
  <c r="P8" i="3"/>
  <c r="R8" i="3"/>
  <c r="B3" i="3"/>
  <c r="AH376" i="6"/>
  <c r="E376" i="6"/>
  <c r="AH375" i="6"/>
  <c r="E375" i="6"/>
  <c r="AH374" i="6"/>
  <c r="E374" i="6"/>
  <c r="AH295" i="6"/>
  <c r="E295" i="6"/>
  <c r="AH294" i="6"/>
  <c r="E294" i="6"/>
  <c r="AH293" i="6"/>
  <c r="E293" i="6"/>
  <c r="AH292" i="6"/>
  <c r="E292" i="6"/>
  <c r="AH291" i="6"/>
  <c r="E291" i="6"/>
  <c r="E142" i="6"/>
  <c r="E141" i="6"/>
  <c r="E139" i="6"/>
  <c r="E140" i="6"/>
  <c r="E138" i="6"/>
  <c r="E136" i="6"/>
  <c r="F5" i="6"/>
  <c r="A4" i="6"/>
  <c r="F8" i="6" l="1" a="1"/>
  <c r="F8" i="6" s="1"/>
  <c r="AN12" i="6" a="1"/>
  <c r="AN12" i="6" s="1"/>
  <c r="AM9" i="6" a="1"/>
  <c r="AM9" i="6" s="1"/>
  <c r="AM12" i="6" a="1"/>
  <c r="AM12" i="6" s="1"/>
  <c r="AN11" i="6" a="1"/>
  <c r="AN11" i="6" s="1"/>
  <c r="AN8" i="6" a="1"/>
  <c r="AN8" i="6" s="1"/>
  <c r="AM11" i="6" a="1"/>
  <c r="AM11" i="6" s="1"/>
  <c r="AM8" i="6" a="1"/>
  <c r="AM8" i="6" s="1"/>
  <c r="AI11" i="6" a="1"/>
  <c r="AI11" i="6" s="1"/>
  <c r="AI8" i="6" a="1"/>
  <c r="AI8" i="6" s="1"/>
  <c r="AN10" i="6" a="1"/>
  <c r="AN10" i="6" s="1"/>
  <c r="AM10" i="6" a="1"/>
  <c r="AM10" i="6" s="1"/>
  <c r="AI10" i="6" a="1"/>
  <c r="AI10" i="6" s="1"/>
  <c r="AN9" i="6" a="1"/>
  <c r="AN9" i="6" s="1"/>
  <c r="AI12" i="6" a="1"/>
  <c r="AI12" i="6" s="1"/>
  <c r="AU550" i="3" a="1"/>
  <c r="AU550" i="3" s="1"/>
  <c r="AR550" i="3" a="1"/>
  <c r="AR550" i="3" s="1"/>
  <c r="AH441" i="3" a="1"/>
  <c r="AH441" i="3" s="1"/>
  <c r="AT427" i="3" a="1"/>
  <c r="AT427" i="3" s="1"/>
  <c r="AL435" i="3" a="1"/>
  <c r="AL435" i="3" s="1"/>
  <c r="AU441" i="3" a="1"/>
  <c r="AU441" i="3" s="1"/>
  <c r="R13" i="3" a="1"/>
  <c r="R13" i="3" s="1"/>
  <c r="AR150" i="3" a="1"/>
  <c r="AR150" i="3" s="1"/>
  <c r="AU152" i="3" a="1"/>
  <c r="AU152" i="3" s="1"/>
  <c r="AR343" i="3" a="1"/>
  <c r="AR343" i="3" s="1"/>
  <c r="AR296" i="6" a="1"/>
  <c r="AR296" i="6" s="1"/>
  <c r="AU10" i="3" a="1"/>
  <c r="AU10" i="3" s="1"/>
  <c r="AS152" i="3" a="1"/>
  <c r="AS152" i="3" s="1"/>
  <c r="AQ138" i="6" a="1"/>
  <c r="AQ138" i="6" s="1"/>
  <c r="AU11" i="3" a="1"/>
  <c r="AU11" i="3" s="1"/>
  <c r="AR24" i="3" a="1"/>
  <c r="AR24" i="3" s="1"/>
  <c r="AQ135" i="6" a="1"/>
  <c r="AQ135" i="6" s="1"/>
  <c r="AR154" i="3" a="1"/>
  <c r="AR154" i="3" s="1"/>
  <c r="AR294" i="6" a="1"/>
  <c r="AR294" i="6" s="1"/>
  <c r="AU150" i="3" a="1"/>
  <c r="AU150" i="3" s="1"/>
  <c r="AR153" i="3" a="1"/>
  <c r="AR153" i="3" s="1"/>
  <c r="AS149" i="3" a="1"/>
  <c r="AS149" i="3" s="1"/>
  <c r="AS549" i="3" a="1"/>
  <c r="AS549" i="3" s="1"/>
  <c r="AU549" i="3" a="1"/>
  <c r="AU549" i="3" s="1"/>
  <c r="AT550" i="3" a="1"/>
  <c r="AT550" i="3" s="1"/>
  <c r="AS550" i="3" a="1"/>
  <c r="AS550" i="3" s="1"/>
  <c r="AR435" i="3" a="1"/>
  <c r="AR435" i="3" s="1"/>
  <c r="AS427" i="3" a="1"/>
  <c r="AS427" i="3" s="1"/>
  <c r="AT441" i="3" a="1"/>
  <c r="AT441" i="3" s="1"/>
  <c r="AU435" i="3" a="1"/>
  <c r="AU435" i="3" s="1"/>
  <c r="AT13" i="3" a="1"/>
  <c r="AT13" i="3" s="1"/>
  <c r="AR136" i="6" a="1"/>
  <c r="AR136" i="6" s="1"/>
  <c r="AU342" i="3" a="1"/>
  <c r="AU342" i="3" s="1"/>
  <c r="AQ140" i="6" a="1"/>
  <c r="AQ140" i="6" s="1"/>
  <c r="AQ296" i="6" a="1"/>
  <c r="AQ296" i="6" s="1"/>
  <c r="AT10" i="3" a="1"/>
  <c r="AT10" i="3" s="1"/>
  <c r="AR342" i="3" a="1"/>
  <c r="AR342" i="3" s="1"/>
  <c r="AT549" i="3" a="1"/>
  <c r="AT549" i="3" s="1"/>
  <c r="AR553" i="3" a="1"/>
  <c r="AR553" i="3" s="1"/>
  <c r="AS441" i="3" a="1"/>
  <c r="AS441" i="3" s="1"/>
  <c r="P435" i="3" a="1"/>
  <c r="P435" i="3" s="1"/>
  <c r="AR427" i="3" a="1"/>
  <c r="AR427" i="3" s="1"/>
  <c r="AU429" i="3" a="1"/>
  <c r="AU429" i="3" s="1"/>
  <c r="AT435" i="3" a="1"/>
  <c r="AT435" i="3" s="1"/>
  <c r="AU24" i="3" a="1"/>
  <c r="AU24" i="3" s="1"/>
  <c r="AU149" i="3" a="1"/>
  <c r="AU149" i="3" s="1"/>
  <c r="AQ136" i="6" a="1"/>
  <c r="AQ136" i="6" s="1"/>
  <c r="AS345" i="3" a="1"/>
  <c r="AS345" i="3" s="1"/>
  <c r="AS12" i="3" a="1"/>
  <c r="AS12" i="3" s="1"/>
  <c r="R154" i="3" a="1"/>
  <c r="R154" i="3" s="1"/>
  <c r="AR152" i="3" a="1"/>
  <c r="AR152" i="3" s="1"/>
  <c r="AU343" i="3" a="1"/>
  <c r="AU343" i="3" s="1"/>
  <c r="AR139" i="6" a="1"/>
  <c r="AR139" i="6" s="1"/>
  <c r="AQ294" i="6" a="1"/>
  <c r="AQ294" i="6" s="1"/>
  <c r="AT11" i="3" a="1"/>
  <c r="AT11" i="3" s="1"/>
  <c r="AR149" i="3" a="1"/>
  <c r="AR149" i="3" s="1"/>
  <c r="AR551" i="3" a="1"/>
  <c r="AR551" i="3" s="1"/>
  <c r="AM435" i="3" a="1"/>
  <c r="AM435" i="3" s="1"/>
  <c r="AU23" i="3" a="1"/>
  <c r="AU23" i="3" s="1"/>
  <c r="AR341" i="3" a="1"/>
  <c r="AR341" i="3" s="1"/>
  <c r="AT548" i="3" a="1"/>
  <c r="AT548" i="3" s="1"/>
  <c r="AS553" i="3" a="1"/>
  <c r="AS553" i="3" s="1"/>
  <c r="AS429" i="3" a="1"/>
  <c r="AS429" i="3" s="1"/>
  <c r="AS435" i="3" a="1"/>
  <c r="AS435" i="3" s="1"/>
  <c r="R426" i="3" a="1"/>
  <c r="R426" i="3" s="1"/>
  <c r="AT429" i="3" a="1"/>
  <c r="AT429" i="3" s="1"/>
  <c r="AS426" i="3" a="1"/>
  <c r="AS426" i="3" s="1"/>
  <c r="AU153" i="3" a="1"/>
  <c r="AU153" i="3" s="1"/>
  <c r="AT149" i="3" a="1"/>
  <c r="AT149" i="3" s="1"/>
  <c r="Q11" i="3" a="1"/>
  <c r="Q11" i="3" s="1"/>
  <c r="AS23" i="3" a="1"/>
  <c r="AS23" i="3" s="1"/>
  <c r="AS22" i="3" a="1"/>
  <c r="AS22" i="3" s="1"/>
  <c r="AR12" i="3" a="1"/>
  <c r="AR12" i="3" s="1"/>
  <c r="AU154" i="3" a="1"/>
  <c r="AU154" i="3" s="1"/>
  <c r="AT343" i="3" a="1"/>
  <c r="AT343" i="3" s="1"/>
  <c r="AQ139" i="6" a="1"/>
  <c r="AQ139" i="6" s="1"/>
  <c r="AR293" i="6" a="1"/>
  <c r="AR293" i="6" s="1"/>
  <c r="AS13" i="3" a="1"/>
  <c r="AS13" i="3" s="1"/>
  <c r="AR291" i="6" a="1"/>
  <c r="AR291" i="6" s="1"/>
  <c r="AS148" i="3" a="1"/>
  <c r="AS148" i="3" s="1"/>
  <c r="AQ291" i="6" a="1"/>
  <c r="AQ291" i="6" s="1"/>
  <c r="AT150" i="3" a="1"/>
  <c r="AT150" i="3" s="1"/>
  <c r="AS24" i="3" a="1"/>
  <c r="AS24" i="3" s="1"/>
  <c r="AS248" i="3" a="1"/>
  <c r="AS248" i="3" s="1"/>
  <c r="AS341" i="3" a="1"/>
  <c r="AS341" i="3" s="1"/>
  <c r="AS150" i="3" a="1"/>
  <c r="AS150" i="3" s="1"/>
  <c r="AR345" i="3" a="1"/>
  <c r="AR345" i="3" s="1"/>
  <c r="AT341" i="3" a="1"/>
  <c r="AT341" i="3" s="1"/>
  <c r="AR248" i="3" a="1"/>
  <c r="AR248" i="3" s="1"/>
  <c r="AU548" i="3" a="1"/>
  <c r="AU548" i="3" s="1"/>
  <c r="AT553" i="3" a="1"/>
  <c r="AT553" i="3" s="1"/>
  <c r="AR429" i="3" a="1"/>
  <c r="AR429" i="3" s="1"/>
  <c r="AR425" i="3" a="1"/>
  <c r="AR425" i="3" s="1"/>
  <c r="AU426" i="3" a="1"/>
  <c r="AU426" i="3" s="1"/>
  <c r="AR426" i="3" a="1"/>
  <c r="AR426" i="3" s="1"/>
  <c r="AT24" i="3" a="1"/>
  <c r="AT24" i="3" s="1"/>
  <c r="AU248" i="3" a="1"/>
  <c r="AU248" i="3" s="1"/>
  <c r="AR23" i="3" a="1"/>
  <c r="AR23" i="3" s="1"/>
  <c r="AU12" i="3" a="1"/>
  <c r="AU12" i="3" s="1"/>
  <c r="AR292" i="6" a="1"/>
  <c r="AR292" i="6" s="1"/>
  <c r="AR22" i="3" a="1"/>
  <c r="AR22" i="3" s="1"/>
  <c r="AU345" i="3" a="1"/>
  <c r="AU345" i="3" s="1"/>
  <c r="AU250" i="3" a="1"/>
  <c r="AU250" i="3" s="1"/>
  <c r="AT148" i="3" a="1"/>
  <c r="AT148" i="3" s="1"/>
  <c r="AQ293" i="6" a="1"/>
  <c r="AQ293" i="6" s="1"/>
  <c r="AR13" i="3" a="1"/>
  <c r="AR13" i="3" s="1"/>
  <c r="AR148" i="3" a="1"/>
  <c r="AR148" i="3" s="1"/>
  <c r="AS250" i="3" a="1"/>
  <c r="AS250" i="3" s="1"/>
  <c r="P153" i="3" a="1"/>
  <c r="P153" i="3" s="1"/>
  <c r="AT551" i="3" a="1"/>
  <c r="AT551" i="3" s="1"/>
  <c r="AU553" i="3" a="1"/>
  <c r="AU553" i="3" s="1"/>
  <c r="Q633" i="3" a="1"/>
  <c r="Q633" i="3" s="1"/>
  <c r="AR441" i="3" a="1"/>
  <c r="AR441" i="3" s="1"/>
  <c r="P425" i="3" a="1"/>
  <c r="P425" i="3" s="1"/>
  <c r="AT426" i="3" a="1"/>
  <c r="AT426" i="3" s="1"/>
  <c r="AT153" i="3" a="1"/>
  <c r="AT153" i="3" s="1"/>
  <c r="AT248" i="3" a="1"/>
  <c r="AT248" i="3" s="1"/>
  <c r="AS11" i="3" a="1"/>
  <c r="AS11" i="3" s="1"/>
  <c r="AT12" i="3" a="1"/>
  <c r="AT12" i="3" s="1"/>
  <c r="AQ292" i="6" a="1"/>
  <c r="AQ292" i="6" s="1"/>
  <c r="AS10" i="3" a="1"/>
  <c r="AS10" i="3" s="1"/>
  <c r="AU22" i="3" a="1"/>
  <c r="AU22" i="3" s="1"/>
  <c r="AT250" i="3" a="1"/>
  <c r="AT250" i="3" s="1"/>
  <c r="AU341" i="3" a="1"/>
  <c r="AU341" i="3" s="1"/>
  <c r="AS548" i="3" a="1"/>
  <c r="AS548" i="3" s="1"/>
  <c r="AM441" i="3" a="1"/>
  <c r="AM441" i="3" s="1"/>
  <c r="AS425" i="3" a="1"/>
  <c r="AS425" i="3" s="1"/>
  <c r="AU425" i="3" a="1"/>
  <c r="AU425" i="3" s="1"/>
  <c r="R24" i="3" a="1"/>
  <c r="R24" i="3" s="1"/>
  <c r="AT342" i="3" a="1"/>
  <c r="AT342" i="3" s="1"/>
  <c r="AS343" i="3" a="1"/>
  <c r="AS343" i="3" s="1"/>
  <c r="AT154" i="3" a="1"/>
  <c r="AT154" i="3" s="1"/>
  <c r="AR549" i="3" a="1"/>
  <c r="AR549" i="3" s="1"/>
  <c r="AS551" i="3" a="1"/>
  <c r="AS551" i="3" s="1"/>
  <c r="AR548" i="3" a="1"/>
  <c r="AR548" i="3" s="1"/>
  <c r="AL441" i="3" a="1"/>
  <c r="AL441" i="3" s="1"/>
  <c r="AU427" i="3" a="1"/>
  <c r="AU427" i="3" s="1"/>
  <c r="AH435" i="3" a="1"/>
  <c r="AH435" i="3" s="1"/>
  <c r="AT425" i="3" a="1"/>
  <c r="AT425" i="3" s="1"/>
  <c r="AU13" i="3" a="1"/>
  <c r="AU13" i="3" s="1"/>
  <c r="AR11" i="3" a="1"/>
  <c r="AR11" i="3" s="1"/>
  <c r="AT152" i="3" a="1"/>
  <c r="AT152" i="3" s="1"/>
  <c r="AR140" i="6" a="1"/>
  <c r="AR140" i="6" s="1"/>
  <c r="AR10" i="3" a="1"/>
  <c r="AR10" i="3" s="1"/>
  <c r="AT22" i="3" a="1"/>
  <c r="AT22" i="3" s="1"/>
  <c r="AS342" i="3" a="1"/>
  <c r="AS342" i="3" s="1"/>
  <c r="AU148" i="3" a="1"/>
  <c r="AU148" i="3" s="1"/>
  <c r="AS154" i="3" a="1"/>
  <c r="AS154" i="3" s="1"/>
  <c r="AR138" i="6" a="1"/>
  <c r="AR138" i="6" s="1"/>
  <c r="AT23" i="3" a="1"/>
  <c r="AT23" i="3" s="1"/>
  <c r="AS153" i="3" a="1"/>
  <c r="AS153" i="3" s="1"/>
  <c r="AR135" i="6" a="1"/>
  <c r="AR135" i="6" s="1"/>
  <c r="AR250" i="3" a="1"/>
  <c r="AR250" i="3" s="1"/>
  <c r="P24" i="3" a="1"/>
  <c r="P24" i="3" s="1"/>
  <c r="AU551" i="3" a="1"/>
  <c r="AU551" i="3" s="1"/>
  <c r="AT345" i="3" a="1"/>
  <c r="AT345" i="3" s="1"/>
  <c r="N375" i="6" a="1"/>
  <c r="N375" i="6" s="1"/>
  <c r="AH436" i="3" a="1"/>
  <c r="AH436" i="3" s="1"/>
  <c r="AH438" i="3" a="1"/>
  <c r="AH438" i="3" s="1"/>
  <c r="AH437" i="3" a="1"/>
  <c r="AH437" i="3" s="1"/>
  <c r="AH439" i="3" a="1"/>
  <c r="AH439" i="3" s="1"/>
  <c r="AH440" i="3" a="1"/>
  <c r="AH440" i="3" s="1"/>
  <c r="AS552" i="3" a="1"/>
  <c r="AS552" i="3" s="1"/>
  <c r="AU428" i="3" a="1"/>
  <c r="AU428" i="3" s="1"/>
  <c r="AU436" i="3" a="1"/>
  <c r="AU436" i="3" s="1"/>
  <c r="AR439" i="3" a="1"/>
  <c r="AR439" i="3" s="1"/>
  <c r="AQ295" i="6" a="1"/>
  <c r="AQ295" i="6" s="1"/>
  <c r="AR552" i="3" a="1"/>
  <c r="AR552" i="3" s="1"/>
  <c r="AU439" i="3" a="1"/>
  <c r="AU439" i="3" s="1"/>
  <c r="AS439" i="3" a="1"/>
  <c r="AS439" i="3" s="1"/>
  <c r="AM437" i="3" a="1"/>
  <c r="AM437" i="3" s="1"/>
  <c r="AT439" i="3" a="1"/>
  <c r="AT439" i="3" s="1"/>
  <c r="AL438" i="3" a="1"/>
  <c r="AL438" i="3" s="1"/>
  <c r="AS344" i="3" a="1"/>
  <c r="AS344" i="3" s="1"/>
  <c r="AU344" i="3" a="1"/>
  <c r="AU344" i="3" s="1"/>
  <c r="AL437" i="3" a="1"/>
  <c r="AL437" i="3" s="1"/>
  <c r="AL439" i="3" a="1"/>
  <c r="AL439" i="3" s="1"/>
  <c r="AS437" i="3" a="1"/>
  <c r="AS437" i="3" s="1"/>
  <c r="AM438" i="3" a="1"/>
  <c r="AM438" i="3" s="1"/>
  <c r="AR344" i="3" a="1"/>
  <c r="AR344" i="3" s="1"/>
  <c r="AT344" i="3" a="1"/>
  <c r="AT344" i="3" s="1"/>
  <c r="AU552" i="3" a="1"/>
  <c r="AU552" i="3" s="1"/>
  <c r="AU437" i="3" a="1"/>
  <c r="AU437" i="3" s="1"/>
  <c r="AM436" i="3" a="1"/>
  <c r="AM436" i="3" s="1"/>
  <c r="AM439" i="3" a="1"/>
  <c r="AM439" i="3" s="1"/>
  <c r="AR437" i="3" a="1"/>
  <c r="AR437" i="3" s="1"/>
  <c r="AS438" i="3" a="1"/>
  <c r="AS438" i="3" s="1"/>
  <c r="R344" i="3" a="1"/>
  <c r="R344" i="3" s="1"/>
  <c r="S428" i="3" a="1"/>
  <c r="S428" i="3" s="1"/>
  <c r="AT438" i="3" a="1"/>
  <c r="AT438" i="3" s="1"/>
  <c r="AT552" i="3" a="1"/>
  <c r="AT552" i="3" s="1"/>
  <c r="AT437" i="3" a="1"/>
  <c r="AT437" i="3" s="1"/>
  <c r="AL436" i="3" a="1"/>
  <c r="AL436" i="3" s="1"/>
  <c r="AS436" i="3" a="1"/>
  <c r="AS436" i="3" s="1"/>
  <c r="AU438" i="3" a="1"/>
  <c r="AU438" i="3" s="1"/>
  <c r="AR438" i="3" a="1"/>
  <c r="AR438" i="3" s="1"/>
  <c r="AS428" i="3" a="1"/>
  <c r="AS428" i="3" s="1"/>
  <c r="AR436" i="3" a="1"/>
  <c r="AR436" i="3" s="1"/>
  <c r="AR428" i="3" a="1"/>
  <c r="AR428" i="3" s="1"/>
  <c r="AT428" i="3" a="1"/>
  <c r="AT428" i="3" s="1"/>
  <c r="AT436" i="3" a="1"/>
  <c r="AT436" i="3" s="1"/>
  <c r="R438" i="3" a="1"/>
  <c r="R438" i="3" s="1"/>
  <c r="AR295" i="6" a="1"/>
  <c r="AR295" i="6" s="1"/>
  <c r="AR440" i="3" a="1"/>
  <c r="AR440" i="3" s="1"/>
  <c r="AS440" i="3" a="1"/>
  <c r="AS440" i="3" s="1"/>
  <c r="AU440" i="3" a="1"/>
  <c r="AU440" i="3" s="1"/>
  <c r="AT440" i="3" a="1"/>
  <c r="AT440" i="3" s="1"/>
  <c r="AL440" i="3" a="1"/>
  <c r="AL440" i="3" s="1"/>
  <c r="AM440" i="3" a="1"/>
  <c r="AM440" i="3" s="1"/>
  <c r="AK10" i="6" a="1"/>
  <c r="AK10" i="6" s="1"/>
  <c r="AL10" i="6" a="1"/>
  <c r="AL10" i="6" s="1"/>
  <c r="AK8" i="6" a="1"/>
  <c r="AK8" i="6" s="1"/>
  <c r="AL12" i="6" a="1"/>
  <c r="AL12" i="6" s="1"/>
  <c r="AL11" i="6" a="1"/>
  <c r="AL11" i="6" s="1"/>
  <c r="AL8" i="6" a="1"/>
  <c r="AL8" i="6" s="1"/>
  <c r="AK12" i="6" a="1"/>
  <c r="AK12" i="6" s="1"/>
  <c r="AK11" i="6" a="1"/>
  <c r="AK11" i="6" s="1"/>
  <c r="AJ716" i="3" a="1"/>
  <c r="AJ716" i="3" s="1"/>
  <c r="AJ715" i="3" a="1"/>
  <c r="AJ715" i="3" s="1"/>
  <c r="AJ635" i="3" a="1"/>
  <c r="AJ635" i="3" s="1"/>
  <c r="AJ631" i="3" a="1"/>
  <c r="AJ631" i="3" s="1"/>
  <c r="AJ553" i="3" a="1"/>
  <c r="AJ553" i="3" s="1"/>
  <c r="AK549" i="3" a="1"/>
  <c r="AK549" i="3" s="1"/>
  <c r="AJ549" i="3" a="1"/>
  <c r="AJ549" i="3" s="1"/>
  <c r="AJ632" i="3" a="1"/>
  <c r="AJ632" i="3" s="1"/>
  <c r="AK634" i="3" a="1"/>
  <c r="AK634" i="3" s="1"/>
  <c r="AK548" i="3" a="1"/>
  <c r="AK548" i="3" s="1"/>
  <c r="AJ548" i="3" a="1"/>
  <c r="AJ548" i="3" s="1"/>
  <c r="AJ634" i="3" a="1"/>
  <c r="AJ634" i="3" s="1"/>
  <c r="AK633" i="3" a="1"/>
  <c r="AK633" i="3" s="1"/>
  <c r="AK551" i="3" a="1"/>
  <c r="AK551" i="3" s="1"/>
  <c r="AK717" i="3" a="1"/>
  <c r="AK717" i="3" s="1"/>
  <c r="H716" i="3" a="1"/>
  <c r="H716" i="3" s="1"/>
  <c r="AK550" i="3" a="1"/>
  <c r="AK550" i="3" s="1"/>
  <c r="AJ550" i="3" a="1"/>
  <c r="AJ550" i="3" s="1"/>
  <c r="AK553" i="3" a="1"/>
  <c r="AK553" i="3" s="1"/>
  <c r="AK552" i="3" a="1"/>
  <c r="AK552" i="3" s="1"/>
  <c r="AJ717" i="3" a="1"/>
  <c r="AJ717" i="3" s="1"/>
  <c r="AJ633" i="3" a="1"/>
  <c r="AJ633" i="3" s="1"/>
  <c r="AK632" i="3" a="1"/>
  <c r="AK632" i="3" s="1"/>
  <c r="AJ551" i="3" a="1"/>
  <c r="AJ551" i="3" s="1"/>
  <c r="AK716" i="3" a="1"/>
  <c r="AK716" i="3" s="1"/>
  <c r="AK715" i="3" a="1"/>
  <c r="AK715" i="3" s="1"/>
  <c r="AK635" i="3" a="1"/>
  <c r="AK635" i="3" s="1"/>
  <c r="AK631" i="3" a="1"/>
  <c r="AK631" i="3" s="1"/>
  <c r="AJ552" i="3" a="1"/>
  <c r="AJ552" i="3" s="1"/>
  <c r="AK435" i="3" a="1"/>
  <c r="AK435" i="3" s="1"/>
  <c r="AK21" i="3" a="1"/>
  <c r="AK21" i="3" s="1"/>
  <c r="AK256" i="3" a="1"/>
  <c r="AK256" i="3" s="1"/>
  <c r="AJ22" i="3" a="1"/>
  <c r="AJ22" i="3" s="1"/>
  <c r="AJ14" i="3" a="1"/>
  <c r="AJ14" i="3" s="1"/>
  <c r="AK425" i="3" a="1"/>
  <c r="AK425" i="3" s="1"/>
  <c r="AK24" i="3" a="1"/>
  <c r="AK24" i="3" s="1"/>
  <c r="AK9" i="3" a="1"/>
  <c r="AK9" i="3" s="1"/>
  <c r="AJ256" i="3" a="1"/>
  <c r="AJ256" i="3" s="1"/>
  <c r="AJ10" i="3" a="1"/>
  <c r="AJ10" i="3" s="1"/>
  <c r="AJ250" i="3" a="1"/>
  <c r="AJ250" i="3" s="1"/>
  <c r="AK427" i="3" a="1"/>
  <c r="AK427" i="3" s="1"/>
  <c r="AK426" i="3" a="1"/>
  <c r="AK426" i="3" s="1"/>
  <c r="AK248" i="3" a="1"/>
  <c r="AK248" i="3" s="1"/>
  <c r="AK13" i="3" a="1"/>
  <c r="AK13" i="3" s="1"/>
  <c r="AK441" i="3" a="1"/>
  <c r="AK441" i="3" s="1"/>
  <c r="AJ425" i="3" a="1"/>
  <c r="AJ425" i="3" s="1"/>
  <c r="AJ248" i="3" a="1"/>
  <c r="AJ248" i="3" s="1"/>
  <c r="AJ24" i="3" a="1"/>
  <c r="AJ24" i="3" s="1"/>
  <c r="AJ21" i="3" a="1"/>
  <c r="AJ21" i="3" s="1"/>
  <c r="AK12" i="3" a="1"/>
  <c r="AK12" i="3" s="1"/>
  <c r="AK429" i="3" a="1"/>
  <c r="AK429" i="3" s="1"/>
  <c r="AJ441" i="3" a="1"/>
  <c r="AJ441" i="3" s="1"/>
  <c r="AK23" i="3" a="1"/>
  <c r="AK23" i="3" s="1"/>
  <c r="AJ13" i="3" a="1"/>
  <c r="AJ13" i="3" s="1"/>
  <c r="AJ9" i="3" a="1"/>
  <c r="AJ9" i="3" s="1"/>
  <c r="AK249" i="3" a="1"/>
  <c r="AK249" i="3" s="1"/>
  <c r="AJ429" i="3" a="1"/>
  <c r="AJ429" i="3" s="1"/>
  <c r="AJ435" i="3" a="1"/>
  <c r="AJ435" i="3" s="1"/>
  <c r="AK11" i="3" a="1"/>
  <c r="AK11" i="3" s="1"/>
  <c r="AK253" i="3" a="1"/>
  <c r="AK253" i="3" s="1"/>
  <c r="AK254" i="3" a="1"/>
  <c r="AK254" i="3" s="1"/>
  <c r="AJ12" i="3" a="1"/>
  <c r="AJ12" i="3" s="1"/>
  <c r="AJ249" i="3" a="1"/>
  <c r="AJ249" i="3" s="1"/>
  <c r="AJ427" i="3" a="1"/>
  <c r="AJ427" i="3" s="1"/>
  <c r="AJ23" i="3" a="1"/>
  <c r="AJ23" i="3" s="1"/>
  <c r="AJ253" i="3" a="1"/>
  <c r="AJ253" i="3" s="1"/>
  <c r="AJ254" i="3" a="1"/>
  <c r="AJ254" i="3" s="1"/>
  <c r="AK22" i="3" a="1"/>
  <c r="AK22" i="3" s="1"/>
  <c r="AJ426" i="3" a="1"/>
  <c r="AJ426" i="3" s="1"/>
  <c r="AJ11" i="3" a="1"/>
  <c r="AJ11" i="3" s="1"/>
  <c r="AK10" i="3" a="1"/>
  <c r="AK10" i="3" s="1"/>
  <c r="AK250" i="3" a="1"/>
  <c r="AK250" i="3" s="1"/>
  <c r="AK14" i="3" a="1"/>
  <c r="AK14" i="3" s="1"/>
  <c r="AK428" i="3" a="1"/>
  <c r="AK428" i="3" s="1"/>
  <c r="AK436" i="3" a="1"/>
  <c r="AK436" i="3" s="1"/>
  <c r="AK252" i="3" a="1"/>
  <c r="AK252" i="3" s="1"/>
  <c r="AJ252" i="3" a="1"/>
  <c r="AJ252" i="3" s="1"/>
  <c r="AJ436" i="3" a="1"/>
  <c r="AJ436" i="3" s="1"/>
  <c r="AK251" i="3" a="1"/>
  <c r="AK251" i="3" s="1"/>
  <c r="AJ437" i="3" a="1"/>
  <c r="AJ437" i="3" s="1"/>
  <c r="AJ251" i="3" a="1"/>
  <c r="AJ251" i="3" s="1"/>
  <c r="AK437" i="3" a="1"/>
  <c r="AK437" i="3" s="1"/>
  <c r="AK439" i="3" a="1"/>
  <c r="AK439" i="3" s="1"/>
  <c r="AJ438" i="3" a="1"/>
  <c r="AJ438" i="3" s="1"/>
  <c r="AJ428" i="3" a="1"/>
  <c r="AJ428" i="3" s="1"/>
  <c r="AJ439" i="3" a="1"/>
  <c r="AJ439" i="3" s="1"/>
  <c r="AK438" i="3" a="1"/>
  <c r="AK438" i="3" s="1"/>
  <c r="AJ440" i="3" a="1"/>
  <c r="AJ440" i="3" s="1"/>
  <c r="AJ255" i="3" a="1"/>
  <c r="AJ255" i="3" s="1"/>
  <c r="AK255" i="3" a="1"/>
  <c r="AK255" i="3" s="1"/>
  <c r="AK440" i="3" a="1"/>
  <c r="AK440" i="3" s="1"/>
  <c r="AL139" i="6" a="1"/>
  <c r="AL139" i="6" s="1"/>
  <c r="AL291" i="6" a="1"/>
  <c r="AL291" i="6" s="1"/>
  <c r="AK140" i="6" a="1"/>
  <c r="AK140" i="6" s="1"/>
  <c r="AK292" i="6" a="1"/>
  <c r="AK292" i="6" s="1"/>
  <c r="AK136" i="6" a="1"/>
  <c r="AK136" i="6" s="1"/>
  <c r="AK139" i="6" a="1"/>
  <c r="AK139" i="6" s="1"/>
  <c r="AL292" i="6" a="1"/>
  <c r="AL292" i="6" s="1"/>
  <c r="AL138" i="6" a="1"/>
  <c r="AL138" i="6" s="1"/>
  <c r="AK293" i="6" a="1"/>
  <c r="AK293" i="6" s="1"/>
  <c r="AL296" i="6" a="1"/>
  <c r="AL296" i="6" s="1"/>
  <c r="AK291" i="6" a="1"/>
  <c r="AK291" i="6" s="1"/>
  <c r="AK138" i="6" a="1"/>
  <c r="AK138" i="6" s="1"/>
  <c r="AK135" i="6" a="1"/>
  <c r="AK135" i="6" s="1"/>
  <c r="AL140" i="6" a="1"/>
  <c r="AL140" i="6" s="1"/>
  <c r="AK296" i="6" a="1"/>
  <c r="AK296" i="6" s="1"/>
  <c r="AL293" i="6" a="1"/>
  <c r="AL293" i="6" s="1"/>
  <c r="AL137" i="6" a="1"/>
  <c r="AL137" i="6" s="1"/>
  <c r="AL136" i="6" a="1"/>
  <c r="AL136" i="6" s="1"/>
  <c r="AL135" i="6" a="1"/>
  <c r="AL135" i="6" s="1"/>
  <c r="AK137" i="6" a="1"/>
  <c r="AK137" i="6" s="1"/>
  <c r="AK294" i="6" a="1"/>
  <c r="AK294" i="6" s="1"/>
  <c r="AL294" i="6" a="1"/>
  <c r="AL294" i="6" s="1"/>
  <c r="AK375" i="6" a="1"/>
  <c r="AK375" i="6" s="1"/>
  <c r="AL376" i="6" a="1"/>
  <c r="AL376" i="6" s="1"/>
  <c r="AK376" i="6" a="1"/>
  <c r="AK376" i="6" s="1"/>
  <c r="AL375" i="6" a="1"/>
  <c r="AL375" i="6" s="1"/>
  <c r="AL141" i="6" a="1"/>
  <c r="AL141" i="6" s="1"/>
  <c r="AK141" i="6" a="1"/>
  <c r="AK141" i="6" s="1"/>
  <c r="AL295" i="6" a="1"/>
  <c r="AL295" i="6" s="1"/>
  <c r="AK295" i="6" a="1"/>
  <c r="AK295" i="6" s="1"/>
  <c r="AS635" i="3" a="1"/>
  <c r="AS635" i="3" s="1"/>
  <c r="P11" i="3" a="1"/>
  <c r="P11" i="3" s="1"/>
  <c r="AR635" i="3" a="1"/>
  <c r="AR635" i="3" s="1"/>
  <c r="AO435" i="3" a="1"/>
  <c r="AO435" i="3" s="1"/>
  <c r="AN441" i="3" a="1"/>
  <c r="AN441" i="3" s="1"/>
  <c r="AU635" i="3" a="1"/>
  <c r="AU635" i="3" s="1"/>
  <c r="AN435" i="3" a="1"/>
  <c r="AN435" i="3" s="1"/>
  <c r="AT635" i="3" a="1"/>
  <c r="AT635" i="3" s="1"/>
  <c r="R23" i="3" a="1"/>
  <c r="R23" i="3" s="1"/>
  <c r="AU632" i="3" a="1"/>
  <c r="AU632" i="3" s="1"/>
  <c r="AU631" i="3" a="1"/>
  <c r="AU631" i="3" s="1"/>
  <c r="AU634" i="3" a="1"/>
  <c r="AU634" i="3" s="1"/>
  <c r="P150" i="3" a="1"/>
  <c r="P150" i="3" s="1"/>
  <c r="R22" i="3" a="1"/>
  <c r="R22" i="3" s="1"/>
  <c r="AT632" i="3" a="1"/>
  <c r="AT632" i="3" s="1"/>
  <c r="AT631" i="3" a="1"/>
  <c r="AT631" i="3" s="1"/>
  <c r="AT634" i="3" a="1"/>
  <c r="AT634" i="3" s="1"/>
  <c r="R152" i="3" a="1"/>
  <c r="R152" i="3" s="1"/>
  <c r="AT633" i="3" a="1"/>
  <c r="AT633" i="3" s="1"/>
  <c r="AS631" i="3" a="1"/>
  <c r="AS631" i="3" s="1"/>
  <c r="AU633" i="3" a="1"/>
  <c r="AU633" i="3" s="1"/>
  <c r="AS633" i="3" a="1"/>
  <c r="AS633" i="3" s="1"/>
  <c r="AR631" i="3" a="1"/>
  <c r="AR631" i="3" s="1"/>
  <c r="AS632" i="3" a="1"/>
  <c r="AS632" i="3" s="1"/>
  <c r="AR633" i="3" a="1"/>
  <c r="AR633" i="3" s="1"/>
  <c r="AS634" i="3" a="1"/>
  <c r="AS634" i="3" s="1"/>
  <c r="R12" i="3" a="1"/>
  <c r="R12" i="3" s="1"/>
  <c r="AR632" i="3" a="1"/>
  <c r="AR632" i="3" s="1"/>
  <c r="AR634" i="3" a="1"/>
  <c r="AR634" i="3" s="1"/>
  <c r="AO441" i="3" a="1"/>
  <c r="AO441" i="3" s="1"/>
  <c r="AW716" i="3" a="1"/>
  <c r="AW716" i="3" s="1"/>
  <c r="AV716" i="3" a="1"/>
  <c r="AV716" i="3" s="1"/>
  <c r="AW715" i="3" a="1"/>
  <c r="AW715" i="3" s="1"/>
  <c r="AV715" i="3" a="1"/>
  <c r="AV715" i="3" s="1"/>
  <c r="AW717" i="3" a="1"/>
  <c r="AW717" i="3" s="1"/>
  <c r="AV717" i="3" a="1"/>
  <c r="AV717" i="3" s="1"/>
  <c r="AW633" i="3" a="1"/>
  <c r="AW633" i="3" s="1"/>
  <c r="AV441" i="3" a="1"/>
  <c r="AV441" i="3" s="1"/>
  <c r="AW250" i="3" a="1"/>
  <c r="AW250" i="3" s="1"/>
  <c r="AV148" i="3" a="1"/>
  <c r="AV148" i="3" s="1"/>
  <c r="AV156" i="3" a="1"/>
  <c r="AV156" i="3" s="1"/>
  <c r="AV21" i="3" a="1"/>
  <c r="AV21" i="3" s="1"/>
  <c r="AV151" i="3" a="1"/>
  <c r="AV151" i="3" s="1"/>
  <c r="AV633" i="3" a="1"/>
  <c r="AV633" i="3" s="1"/>
  <c r="AV429" i="3" a="1"/>
  <c r="AV429" i="3" s="1"/>
  <c r="AV250" i="3" a="1"/>
  <c r="AV250" i="3" s="1"/>
  <c r="AW254" i="3" a="1"/>
  <c r="AW254" i="3" s="1"/>
  <c r="AW9" i="3" a="1"/>
  <c r="AW9" i="3" s="1"/>
  <c r="AV634" i="3" a="1"/>
  <c r="AV634" i="3" s="1"/>
  <c r="AV150" i="3" a="1"/>
  <c r="AV150" i="3" s="1"/>
  <c r="AW154" i="3" a="1"/>
  <c r="AW154" i="3" s="1"/>
  <c r="AV254" i="3" a="1"/>
  <c r="AV254" i="3" s="1"/>
  <c r="AW14" i="3" a="1"/>
  <c r="AW14" i="3" s="1"/>
  <c r="AW156" i="3" a="1"/>
  <c r="AW156" i="3" s="1"/>
  <c r="AW248" i="3" a="1"/>
  <c r="AW248" i="3" s="1"/>
  <c r="AW634" i="3" a="1"/>
  <c r="AW634" i="3" s="1"/>
  <c r="AV153" i="3" a="1"/>
  <c r="AV153" i="3" s="1"/>
  <c r="AW25" i="3" a="1"/>
  <c r="AW25" i="3" s="1"/>
  <c r="AW256" i="3" a="1"/>
  <c r="AW256" i="3" s="1"/>
  <c r="AW426" i="3" a="1"/>
  <c r="AW426" i="3" s="1"/>
  <c r="AW149" i="3" a="1"/>
  <c r="AW149" i="3" s="1"/>
  <c r="AW632" i="3" a="1"/>
  <c r="AW632" i="3" s="1"/>
  <c r="AV631" i="3" a="1"/>
  <c r="AV631" i="3" s="1"/>
  <c r="AW11" i="3" a="1"/>
  <c r="AW11" i="3" s="1"/>
  <c r="AW24" i="3" a="1"/>
  <c r="AW24" i="3" s="1"/>
  <c r="AW435" i="3" a="1"/>
  <c r="AW435" i="3" s="1"/>
  <c r="AV9" i="3" a="1"/>
  <c r="AV9" i="3" s="1"/>
  <c r="AV426" i="3" a="1"/>
  <c r="AV426" i="3" s="1"/>
  <c r="AW10" i="3" a="1"/>
  <c r="AW10" i="3" s="1"/>
  <c r="AV248" i="3" a="1"/>
  <c r="AV248" i="3" s="1"/>
  <c r="AV632" i="3" a="1"/>
  <c r="AV632" i="3" s="1"/>
  <c r="AW631" i="3" a="1"/>
  <c r="AW631" i="3" s="1"/>
  <c r="AV11" i="3" a="1"/>
  <c r="AV11" i="3" s="1"/>
  <c r="AW253" i="3" a="1"/>
  <c r="AW253" i="3" s="1"/>
  <c r="AW153" i="3" a="1"/>
  <c r="AW153" i="3" s="1"/>
  <c r="AV14" i="3" a="1"/>
  <c r="AV14" i="3" s="1"/>
  <c r="AV435" i="3" a="1"/>
  <c r="AV435" i="3" s="1"/>
  <c r="AV22" i="3" a="1"/>
  <c r="AV22" i="3" s="1"/>
  <c r="AV149" i="3" a="1"/>
  <c r="AV149" i="3" s="1"/>
  <c r="AW635" i="3" a="1"/>
  <c r="AW635" i="3" s="1"/>
  <c r="AW150" i="3" a="1"/>
  <c r="AW150" i="3" s="1"/>
  <c r="AV253" i="3" a="1"/>
  <c r="AV253" i="3" s="1"/>
  <c r="AV13" i="3" a="1"/>
  <c r="AV13" i="3" s="1"/>
  <c r="AW152" i="3" a="1"/>
  <c r="AW152" i="3" s="1"/>
  <c r="AV10" i="3" a="1"/>
  <c r="AV10" i="3" s="1"/>
  <c r="AV635" i="3" a="1"/>
  <c r="AV635" i="3" s="1"/>
  <c r="AW23" i="3" a="1"/>
  <c r="AW23" i="3" s="1"/>
  <c r="AW425" i="3" a="1"/>
  <c r="AW425" i="3" s="1"/>
  <c r="AV12" i="3" a="1"/>
  <c r="AV12" i="3" s="1"/>
  <c r="AV24" i="3" a="1"/>
  <c r="AV24" i="3" s="1"/>
  <c r="AV152" i="3" a="1"/>
  <c r="AV152" i="3" s="1"/>
  <c r="AW22" i="3" a="1"/>
  <c r="AW22" i="3" s="1"/>
  <c r="AV23" i="3" a="1"/>
  <c r="AV23" i="3" s="1"/>
  <c r="AV425" i="3" a="1"/>
  <c r="AV425" i="3" s="1"/>
  <c r="AW12" i="3" a="1"/>
  <c r="AW12" i="3" s="1"/>
  <c r="AW13" i="3" a="1"/>
  <c r="AW13" i="3" s="1"/>
  <c r="AW249" i="3" a="1"/>
  <c r="AW249" i="3" s="1"/>
  <c r="AW441" i="3" a="1"/>
  <c r="AW441" i="3" s="1"/>
  <c r="AV256" i="3" a="1"/>
  <c r="AV256" i="3" s="1"/>
  <c r="AV249" i="3" a="1"/>
  <c r="AV249" i="3" s="1"/>
  <c r="AW427" i="3" a="1"/>
  <c r="AW427" i="3" s="1"/>
  <c r="AW429" i="3" a="1"/>
  <c r="AW429" i="3" s="1"/>
  <c r="AV154" i="3" a="1"/>
  <c r="AV154" i="3" s="1"/>
  <c r="AW148" i="3" a="1"/>
  <c r="AW148" i="3" s="1"/>
  <c r="AV25" i="3" a="1"/>
  <c r="AV25" i="3" s="1"/>
  <c r="AW21" i="3" a="1"/>
  <c r="AW21" i="3" s="1"/>
  <c r="AW151" i="3" a="1"/>
  <c r="AW151" i="3" s="1"/>
  <c r="AV427" i="3" a="1"/>
  <c r="AV427" i="3" s="1"/>
  <c r="AO438" i="3" a="1"/>
  <c r="AO438" i="3" s="1"/>
  <c r="AV436" i="3" a="1"/>
  <c r="AV436" i="3" s="1"/>
  <c r="AO439" i="3" a="1"/>
  <c r="AO439" i="3" s="1"/>
  <c r="AN438" i="3" a="1"/>
  <c r="AN438" i="3" s="1"/>
  <c r="AW438" i="3" a="1"/>
  <c r="AW438" i="3" s="1"/>
  <c r="AV438" i="3" a="1"/>
  <c r="AV438" i="3" s="1"/>
  <c r="AW437" i="3" a="1"/>
  <c r="AW437" i="3" s="1"/>
  <c r="AV437" i="3" a="1"/>
  <c r="AV437" i="3" s="1"/>
  <c r="AN436" i="3" a="1"/>
  <c r="AN436" i="3" s="1"/>
  <c r="R552" i="3" a="1"/>
  <c r="R552" i="3" s="1"/>
  <c r="AW439" i="3" a="1"/>
  <c r="AW439" i="3" s="1"/>
  <c r="AW428" i="3" a="1"/>
  <c r="AW428" i="3" s="1"/>
  <c r="AV439" i="3" a="1"/>
  <c r="AV439" i="3" s="1"/>
  <c r="AW155" i="3" a="1"/>
  <c r="AW155" i="3" s="1"/>
  <c r="AO437" i="3" a="1"/>
  <c r="AO437" i="3" s="1"/>
  <c r="AV428" i="3" a="1"/>
  <c r="AV428" i="3" s="1"/>
  <c r="AV155" i="3" a="1"/>
  <c r="AV155" i="3" s="1"/>
  <c r="AN437" i="3" a="1"/>
  <c r="AN437" i="3" s="1"/>
  <c r="AN439" i="3" a="1"/>
  <c r="AN439" i="3" s="1"/>
  <c r="AW252" i="3" a="1"/>
  <c r="AW252" i="3" s="1"/>
  <c r="AV251" i="3" a="1"/>
  <c r="AV251" i="3" s="1"/>
  <c r="AO436" i="3" a="1"/>
  <c r="AO436" i="3" s="1"/>
  <c r="AW251" i="3" a="1"/>
  <c r="AW251" i="3" s="1"/>
  <c r="AV252" i="3" a="1"/>
  <c r="AV252" i="3" s="1"/>
  <c r="AW436" i="3" a="1"/>
  <c r="AW436" i="3" s="1"/>
  <c r="AN440" i="3" a="1"/>
  <c r="AN440" i="3" s="1"/>
  <c r="AV440" i="3" a="1"/>
  <c r="AV440" i="3" s="1"/>
  <c r="AW255" i="3" a="1"/>
  <c r="AW255" i="3" s="1"/>
  <c r="AO440" i="3" a="1"/>
  <c r="AO440" i="3" s="1"/>
  <c r="AW440" i="3" a="1"/>
  <c r="AW440" i="3" s="1"/>
  <c r="AV255" i="3" a="1"/>
  <c r="AV255" i="3" s="1"/>
  <c r="H713" i="3"/>
  <c r="H629" i="3"/>
  <c r="H546" i="3"/>
  <c r="H423" i="3"/>
  <c r="H433" i="3"/>
  <c r="H339" i="3"/>
  <c r="AK344" i="3" a="1"/>
  <c r="AK344" i="3" s="1"/>
  <c r="AK343" i="3" a="1"/>
  <c r="AK343" i="3" s="1"/>
  <c r="AK342" i="3" a="1"/>
  <c r="AK342" i="3" s="1"/>
  <c r="AK341" i="3" a="1"/>
  <c r="AK341" i="3" s="1"/>
  <c r="AJ344" i="3" a="1"/>
  <c r="AJ344" i="3" s="1"/>
  <c r="AJ343" i="3" a="1"/>
  <c r="AJ343" i="3" s="1"/>
  <c r="AJ342" i="3" a="1"/>
  <c r="AJ342" i="3" s="1"/>
  <c r="AJ341" i="3" a="1"/>
  <c r="AJ341" i="3" s="1"/>
  <c r="AK345" i="3" a="1"/>
  <c r="AK345" i="3" s="1"/>
  <c r="AJ345" i="3" a="1"/>
  <c r="AJ345" i="3" s="1"/>
  <c r="H246" i="3"/>
  <c r="AJ150" i="3" a="1"/>
  <c r="AJ150" i="3" s="1"/>
  <c r="AJ149" i="3" a="1"/>
  <c r="AJ149" i="3" s="1"/>
  <c r="AJ148" i="3" a="1"/>
  <c r="AJ148" i="3" s="1"/>
  <c r="AJ151" i="3" a="1"/>
  <c r="AJ151" i="3" s="1"/>
  <c r="AK153" i="3" a="1"/>
  <c r="AK153" i="3" s="1"/>
  <c r="AK152" i="3" a="1"/>
  <c r="AK152" i="3" s="1"/>
  <c r="AK150" i="3" a="1"/>
  <c r="AK150" i="3" s="1"/>
  <c r="AK156" i="3" a="1"/>
  <c r="AK156" i="3" s="1"/>
  <c r="AK155" i="3" a="1"/>
  <c r="AK155" i="3" s="1"/>
  <c r="AK154" i="3" a="1"/>
  <c r="AK154" i="3" s="1"/>
  <c r="AJ153" i="3" a="1"/>
  <c r="AJ153" i="3" s="1"/>
  <c r="AK149" i="3" a="1"/>
  <c r="AK149" i="3" s="1"/>
  <c r="AJ156" i="3" a="1"/>
  <c r="AJ156" i="3" s="1"/>
  <c r="AJ155" i="3" a="1"/>
  <c r="AJ155" i="3" s="1"/>
  <c r="AJ154" i="3" a="1"/>
  <c r="AJ154" i="3" s="1"/>
  <c r="AJ152" i="3" a="1"/>
  <c r="AJ152" i="3" s="1"/>
  <c r="AK151" i="3" a="1"/>
  <c r="AK151" i="3" s="1"/>
  <c r="AK148" i="3" a="1"/>
  <c r="AK148" i="3" s="1"/>
  <c r="H146" i="3"/>
  <c r="AK25" i="3" a="1"/>
  <c r="AK25" i="3" s="1"/>
  <c r="AJ25" i="3" a="1"/>
  <c r="AJ25" i="3" s="1"/>
  <c r="H7" i="3"/>
  <c r="H19" i="3"/>
  <c r="I717" i="3" a="1"/>
  <c r="I717" i="3" s="1"/>
  <c r="H715" i="3" a="1"/>
  <c r="H715" i="3" s="1"/>
  <c r="H717" i="3" a="1"/>
  <c r="H717" i="3" s="1"/>
  <c r="I716" i="3" a="1"/>
  <c r="I716" i="3" s="1"/>
  <c r="I715" i="3" a="1"/>
  <c r="I715" i="3" s="1"/>
  <c r="F289" i="6"/>
  <c r="F372" i="6"/>
  <c r="F133" i="6"/>
  <c r="F119" i="6"/>
  <c r="AQ375" i="6" a="1"/>
  <c r="AQ375" i="6" s="1"/>
  <c r="O292" i="6" a="1"/>
  <c r="O292" i="6" s="1"/>
  <c r="O296" i="6" a="1"/>
  <c r="O296" i="6" s="1"/>
  <c r="O293" i="6" a="1"/>
  <c r="O293" i="6" s="1"/>
  <c r="N291" i="6" a="1"/>
  <c r="N291" i="6" s="1"/>
  <c r="O375" i="6" a="1"/>
  <c r="O375" i="6" s="1"/>
  <c r="N293" i="6" a="1"/>
  <c r="N293" i="6" s="1"/>
  <c r="O291" i="6" a="1"/>
  <c r="O291" i="6" s="1"/>
  <c r="AR376" i="6" a="1"/>
  <c r="AR376" i="6" s="1"/>
  <c r="O376" i="6" a="1"/>
  <c r="O376" i="6" s="1"/>
  <c r="AQ376" i="6" a="1"/>
  <c r="AQ376" i="6" s="1"/>
  <c r="N294" i="6" a="1"/>
  <c r="N294" i="6" s="1"/>
  <c r="O294" i="6" a="1"/>
  <c r="O294" i="6" s="1"/>
  <c r="N295" i="6" a="1"/>
  <c r="N295" i="6" s="1"/>
  <c r="N376" i="6" a="1"/>
  <c r="N376" i="6" s="1"/>
  <c r="O295" i="6" a="1"/>
  <c r="O295" i="6" s="1"/>
  <c r="AR375" i="6" a="1"/>
  <c r="AR375" i="6" s="1"/>
  <c r="N292" i="6" a="1"/>
  <c r="N292" i="6" s="1"/>
  <c r="N296" i="6" a="1"/>
  <c r="N296" i="6" s="1"/>
  <c r="I375" i="6" a="1"/>
  <c r="I375" i="6" s="1"/>
  <c r="I376" i="6" a="1"/>
  <c r="I376" i="6" s="1"/>
  <c r="H375" i="6" a="1"/>
  <c r="H375" i="6" s="1"/>
  <c r="H376" i="6" a="1"/>
  <c r="H376" i="6" s="1"/>
  <c r="H293" i="6" a="1"/>
  <c r="H293" i="6" s="1"/>
  <c r="H294" i="6" a="1"/>
  <c r="H294" i="6" s="1"/>
  <c r="H291" i="6" a="1"/>
  <c r="H291" i="6" s="1"/>
  <c r="I292" i="6" a="1"/>
  <c r="I292" i="6" s="1"/>
  <c r="H296" i="6" a="1"/>
  <c r="H296" i="6" s="1"/>
  <c r="I296" i="6" a="1"/>
  <c r="I296" i="6" s="1"/>
  <c r="H292" i="6" a="1"/>
  <c r="H292" i="6" s="1"/>
  <c r="I293" i="6" a="1"/>
  <c r="I293" i="6" s="1"/>
  <c r="H295" i="6" a="1"/>
  <c r="H295" i="6" s="1"/>
  <c r="I294" i="6" a="1"/>
  <c r="I294" i="6" s="1"/>
  <c r="I295" i="6" a="1"/>
  <c r="I295" i="6" s="1"/>
  <c r="I291" i="6" a="1"/>
  <c r="I291" i="6" s="1"/>
  <c r="O140" i="6" a="1"/>
  <c r="O140" i="6" s="1"/>
  <c r="N136" i="6" a="1"/>
  <c r="N136" i="6" s="1"/>
  <c r="O139" i="6" a="1"/>
  <c r="O139" i="6" s="1"/>
  <c r="N138" i="6" a="1"/>
  <c r="N138" i="6" s="1"/>
  <c r="N140" i="6" a="1"/>
  <c r="N140" i="6" s="1"/>
  <c r="N135" i="6" a="1"/>
  <c r="N135" i="6" s="1"/>
  <c r="N139" i="6" a="1"/>
  <c r="N139" i="6" s="1"/>
  <c r="O135" i="6" a="1"/>
  <c r="O135" i="6" s="1"/>
  <c r="O136" i="6" a="1"/>
  <c r="O136" i="6" s="1"/>
  <c r="O138" i="6" a="1"/>
  <c r="O138" i="6" s="1"/>
  <c r="S22" i="3" a="1"/>
  <c r="S22" i="3" s="1"/>
  <c r="Q23" i="3" a="1"/>
  <c r="Q23" i="3" s="1"/>
  <c r="Q152" i="3" a="1"/>
  <c r="Q152" i="3" s="1"/>
  <c r="M435" i="3" a="1"/>
  <c r="M435" i="3" s="1"/>
  <c r="R150" i="3" a="1"/>
  <c r="R150" i="3" s="1"/>
  <c r="S153" i="3" a="1"/>
  <c r="S153" i="3" s="1"/>
  <c r="Q12" i="3" a="1"/>
  <c r="Q12" i="3" s="1"/>
  <c r="S551" i="3" a="1"/>
  <c r="S551" i="3" s="1"/>
  <c r="P549" i="3" a="1"/>
  <c r="P549" i="3" s="1"/>
  <c r="Q635" i="3" a="1"/>
  <c r="Q635" i="3" s="1"/>
  <c r="Q13" i="3" a="1"/>
  <c r="Q13" i="3" s="1"/>
  <c r="S427" i="3" a="1"/>
  <c r="S427" i="3" s="1"/>
  <c r="R341" i="3" a="1"/>
  <c r="R341" i="3" s="1"/>
  <c r="Q250" i="3" a="1"/>
  <c r="Q250" i="3" s="1"/>
  <c r="P341" i="3" a="1"/>
  <c r="P341" i="3" s="1"/>
  <c r="R548" i="3" a="1"/>
  <c r="R548" i="3" s="1"/>
  <c r="R553" i="3" a="1"/>
  <c r="R553" i="3" s="1"/>
  <c r="Q441" i="3" a="1"/>
  <c r="Q441" i="3" s="1"/>
  <c r="P10" i="3" a="1"/>
  <c r="P10" i="3" s="1"/>
  <c r="P342" i="3" a="1"/>
  <c r="P342" i="3" s="1"/>
  <c r="J435" i="3" a="1"/>
  <c r="J435" i="3" s="1"/>
  <c r="Q548" i="3" a="1"/>
  <c r="Q548" i="3" s="1"/>
  <c r="R441" i="3" a="1"/>
  <c r="R441" i="3" s="1"/>
  <c r="S441" i="3" a="1"/>
  <c r="S441" i="3" s="1"/>
  <c r="P343" i="3" a="1"/>
  <c r="P343" i="3" s="1"/>
  <c r="Q631" i="3" a="1"/>
  <c r="Q631" i="3" s="1"/>
  <c r="R345" i="3" a="1"/>
  <c r="R345" i="3" s="1"/>
  <c r="S341" i="3" a="1"/>
  <c r="S341" i="3" s="1"/>
  <c r="S548" i="3" a="1"/>
  <c r="S548" i="3" s="1"/>
  <c r="Q150" i="3" a="1"/>
  <c r="Q150" i="3" s="1"/>
  <c r="P23" i="3" a="1"/>
  <c r="P23" i="3" s="1"/>
  <c r="P548" i="3" a="1"/>
  <c r="P548" i="3" s="1"/>
  <c r="S11" i="3" a="1"/>
  <c r="S11" i="3" s="1"/>
  <c r="S24" i="3" a="1"/>
  <c r="S24" i="3" s="1"/>
  <c r="R153" i="3" a="1"/>
  <c r="R153" i="3" s="1"/>
  <c r="P12" i="3" a="1"/>
  <c r="P12" i="3" s="1"/>
  <c r="P13" i="3" a="1"/>
  <c r="P13" i="3" s="1"/>
  <c r="Q632" i="3" a="1"/>
  <c r="Q632" i="3" s="1"/>
  <c r="P633" i="3" a="1"/>
  <c r="P633" i="3" s="1"/>
  <c r="S345" i="3" a="1"/>
  <c r="S345" i="3" s="1"/>
  <c r="Q154" i="3" a="1"/>
  <c r="Q154" i="3" s="1"/>
  <c r="R342" i="3" a="1"/>
  <c r="R342" i="3" s="1"/>
  <c r="Q341" i="3" a="1"/>
  <c r="Q341" i="3" s="1"/>
  <c r="S553" i="3" a="1"/>
  <c r="S553" i="3" s="1"/>
  <c r="Q429" i="3" a="1"/>
  <c r="Q429" i="3" s="1"/>
  <c r="Q22" i="3" a="1"/>
  <c r="Q22" i="3" s="1"/>
  <c r="P152" i="3" a="1"/>
  <c r="P152" i="3" s="1"/>
  <c r="F435" i="3" a="1"/>
  <c r="F435" i="3" s="1"/>
  <c r="S631" i="3" a="1"/>
  <c r="S631" i="3" s="1"/>
  <c r="R429" i="3" a="1"/>
  <c r="R429" i="3" s="1"/>
  <c r="S23" i="3" a="1"/>
  <c r="S23" i="3" s="1"/>
  <c r="S13" i="3" a="1"/>
  <c r="S13" i="3" s="1"/>
  <c r="Q550" i="3" a="1"/>
  <c r="Q550" i="3" s="1"/>
  <c r="Q24" i="3" a="1"/>
  <c r="Q24" i="3" s="1"/>
  <c r="S634" i="3" a="1"/>
  <c r="S634" i="3" s="1"/>
  <c r="P632" i="3" a="1"/>
  <c r="P632" i="3" s="1"/>
  <c r="S426" i="3" a="1"/>
  <c r="S426" i="3" s="1"/>
  <c r="S425" i="3" a="1"/>
  <c r="S425" i="3" s="1"/>
  <c r="S10" i="3" a="1"/>
  <c r="S10" i="3" s="1"/>
  <c r="S148" i="3" a="1"/>
  <c r="S148" i="3" s="1"/>
  <c r="S12" i="3" a="1"/>
  <c r="S12" i="3" s="1"/>
  <c r="R631" i="3" a="1"/>
  <c r="R631" i="3" s="1"/>
  <c r="S429" i="3" a="1"/>
  <c r="S429" i="3" s="1"/>
  <c r="S150" i="3" a="1"/>
  <c r="S150" i="3" s="1"/>
  <c r="S635" i="3" a="1"/>
  <c r="S635" i="3" s="1"/>
  <c r="P550" i="3" a="1"/>
  <c r="P550" i="3" s="1"/>
  <c r="S632" i="3" a="1"/>
  <c r="S632" i="3" s="1"/>
  <c r="Q435" i="3" a="1"/>
  <c r="Q435" i="3" s="1"/>
  <c r="R149" i="3" a="1"/>
  <c r="R149" i="3" s="1"/>
  <c r="S342" i="3" a="1"/>
  <c r="S342" i="3" s="1"/>
  <c r="Q148" i="3" a="1"/>
  <c r="Q148" i="3" s="1"/>
  <c r="R549" i="3" a="1"/>
  <c r="R549" i="3" s="1"/>
  <c r="P441" i="3" a="1"/>
  <c r="P441" i="3" s="1"/>
  <c r="P22" i="3" a="1"/>
  <c r="P22" i="3" s="1"/>
  <c r="Q342" i="3" a="1"/>
  <c r="Q342" i="3" s="1"/>
  <c r="R343" i="3" a="1"/>
  <c r="R343" i="3" s="1"/>
  <c r="L435" i="3" a="1"/>
  <c r="L435" i="3" s="1"/>
  <c r="R550" i="3" a="1"/>
  <c r="R550" i="3" s="1"/>
  <c r="R635" i="3" a="1"/>
  <c r="R635" i="3" s="1"/>
  <c r="R435" i="3" a="1"/>
  <c r="R435" i="3" s="1"/>
  <c r="P635" i="3" a="1"/>
  <c r="P635" i="3" s="1"/>
  <c r="Q153" i="3" a="1"/>
  <c r="Q153" i="3" s="1"/>
  <c r="R634" i="3" a="1"/>
  <c r="R634" i="3" s="1"/>
  <c r="R10" i="3" a="1"/>
  <c r="R10" i="3" s="1"/>
  <c r="R148" i="3" a="1"/>
  <c r="R148" i="3" s="1"/>
  <c r="P154" i="3" a="1"/>
  <c r="P154" i="3" s="1"/>
  <c r="S549" i="3" a="1"/>
  <c r="S549" i="3" s="1"/>
  <c r="Q345" i="3" a="1"/>
  <c r="Q345" i="3" s="1"/>
  <c r="S343" i="3" a="1"/>
  <c r="S343" i="3" s="1"/>
  <c r="K435" i="3" a="1"/>
  <c r="K435" i="3" s="1"/>
  <c r="S550" i="3" a="1"/>
  <c r="S550" i="3" s="1"/>
  <c r="R11" i="3" a="1"/>
  <c r="R11" i="3" s="1"/>
  <c r="Q553" i="3" a="1"/>
  <c r="Q553" i="3" s="1"/>
  <c r="R632" i="3" a="1"/>
  <c r="R632" i="3" s="1"/>
  <c r="Q551" i="3" a="1"/>
  <c r="Q551" i="3" s="1"/>
  <c r="S633" i="3" a="1"/>
  <c r="S633" i="3" s="1"/>
  <c r="P631" i="3" a="1"/>
  <c r="P631" i="3" s="1"/>
  <c r="P250" i="3" a="1"/>
  <c r="P250" i="3" s="1"/>
  <c r="P148" i="3" a="1"/>
  <c r="P148" i="3" s="1"/>
  <c r="P429" i="3" a="1"/>
  <c r="P429" i="3" s="1"/>
  <c r="P426" i="3" a="1"/>
  <c r="P426" i="3" s="1"/>
  <c r="J441" i="3" a="1"/>
  <c r="J441" i="3" s="1"/>
  <c r="R633" i="3" a="1"/>
  <c r="R633" i="3" s="1"/>
  <c r="S248" i="3" a="1"/>
  <c r="S248" i="3" s="1"/>
  <c r="P634" i="3" a="1"/>
  <c r="P634" i="3" s="1"/>
  <c r="Q343" i="3" a="1"/>
  <c r="Q343" i="3" s="1"/>
  <c r="R248" i="3" a="1"/>
  <c r="R248" i="3" s="1"/>
  <c r="F441" i="3" a="1"/>
  <c r="F441" i="3" s="1"/>
  <c r="Q427" i="3" a="1"/>
  <c r="Q427" i="3" s="1"/>
  <c r="K441" i="3" a="1"/>
  <c r="K441" i="3" s="1"/>
  <c r="S250" i="3" a="1"/>
  <c r="S250" i="3" s="1"/>
  <c r="Q149" i="3" a="1"/>
  <c r="Q149" i="3" s="1"/>
  <c r="P345" i="3" a="1"/>
  <c r="P345" i="3" s="1"/>
  <c r="R551" i="3" a="1"/>
  <c r="R551" i="3" s="1"/>
  <c r="R250" i="3" a="1"/>
  <c r="R250" i="3" s="1"/>
  <c r="P248" i="3" a="1"/>
  <c r="P248" i="3" s="1"/>
  <c r="Q10" i="3" a="1"/>
  <c r="Q10" i="3" s="1"/>
  <c r="P553" i="3" a="1"/>
  <c r="P553" i="3" s="1"/>
  <c r="Q549" i="3" a="1"/>
  <c r="Q549" i="3" s="1"/>
  <c r="S435" i="3" a="1"/>
  <c r="S435" i="3" s="1"/>
  <c r="P551" i="3" a="1"/>
  <c r="P551" i="3" s="1"/>
  <c r="R425" i="3" a="1"/>
  <c r="R425" i="3" s="1"/>
  <c r="Q248" i="3" a="1"/>
  <c r="Q248" i="3" s="1"/>
  <c r="P427" i="3" a="1"/>
  <c r="P427" i="3" s="1"/>
  <c r="S152" i="3" a="1"/>
  <c r="S152" i="3" s="1"/>
  <c r="L441" i="3" a="1"/>
  <c r="L441" i="3" s="1"/>
  <c r="R427" i="3" a="1"/>
  <c r="R427" i="3" s="1"/>
  <c r="S149" i="3" a="1"/>
  <c r="S149" i="3" s="1"/>
  <c r="Q426" i="3" a="1"/>
  <c r="Q426" i="3" s="1"/>
  <c r="Q634" i="3" a="1"/>
  <c r="Q634" i="3" s="1"/>
  <c r="S154" i="3" a="1"/>
  <c r="S154" i="3" s="1"/>
  <c r="P149" i="3" a="1"/>
  <c r="P149" i="3" s="1"/>
  <c r="Q425" i="3" a="1"/>
  <c r="Q425" i="3" s="1"/>
  <c r="M441" i="3" a="1"/>
  <c r="M441" i="3" s="1"/>
  <c r="S344" i="3" a="1"/>
  <c r="S344" i="3" s="1"/>
  <c r="L439" i="3" a="1"/>
  <c r="L439" i="3" s="1"/>
  <c r="P344" i="3" a="1"/>
  <c r="P344" i="3" s="1"/>
  <c r="L436" i="3" a="1"/>
  <c r="L436" i="3" s="1"/>
  <c r="L437" i="3" a="1"/>
  <c r="L437" i="3" s="1"/>
  <c r="Q437" i="3" a="1"/>
  <c r="Q437" i="3" s="1"/>
  <c r="R439" i="3" a="1"/>
  <c r="R439" i="3" s="1"/>
  <c r="R436" i="3" a="1"/>
  <c r="R436" i="3" s="1"/>
  <c r="M438" i="3" a="1"/>
  <c r="M438" i="3" s="1"/>
  <c r="M437" i="3" a="1"/>
  <c r="M437" i="3" s="1"/>
  <c r="K437" i="3" a="1"/>
  <c r="K437" i="3" s="1"/>
  <c r="Q438" i="3" a="1"/>
  <c r="Q438" i="3" s="1"/>
  <c r="S439" i="3" a="1"/>
  <c r="S439" i="3" s="1"/>
  <c r="M439" i="3" a="1"/>
  <c r="M439" i="3" s="1"/>
  <c r="L438" i="3" a="1"/>
  <c r="L438" i="3" s="1"/>
  <c r="J437" i="3" a="1"/>
  <c r="J437" i="3" s="1"/>
  <c r="R437" i="3" a="1"/>
  <c r="R437" i="3" s="1"/>
  <c r="Q552" i="3" a="1"/>
  <c r="Q552" i="3" s="1"/>
  <c r="S552" i="3" a="1"/>
  <c r="S552" i="3" s="1"/>
  <c r="P552" i="3" a="1"/>
  <c r="P552" i="3" s="1"/>
  <c r="F439" i="3" a="1"/>
  <c r="F439" i="3" s="1"/>
  <c r="F436" i="3" a="1"/>
  <c r="F436" i="3" s="1"/>
  <c r="F438" i="3" a="1"/>
  <c r="F438" i="3" s="1"/>
  <c r="Q344" i="3" a="1"/>
  <c r="Q344" i="3" s="1"/>
  <c r="Q428" i="3" a="1"/>
  <c r="Q428" i="3" s="1"/>
  <c r="P437" i="3" a="1"/>
  <c r="P437" i="3" s="1"/>
  <c r="S438" i="3" a="1"/>
  <c r="S438" i="3" s="1"/>
  <c r="K439" i="3" a="1"/>
  <c r="K439" i="3" s="1"/>
  <c r="R428" i="3" a="1"/>
  <c r="R428" i="3" s="1"/>
  <c r="K436" i="3" a="1"/>
  <c r="K436" i="3" s="1"/>
  <c r="S436" i="3" a="1"/>
  <c r="S436" i="3" s="1"/>
  <c r="J438" i="3" a="1"/>
  <c r="J438" i="3" s="1"/>
  <c r="Q439" i="3" a="1"/>
  <c r="Q439" i="3" s="1"/>
  <c r="J436" i="3" a="1"/>
  <c r="J436" i="3" s="1"/>
  <c r="S437" i="3" a="1"/>
  <c r="S437" i="3" s="1"/>
  <c r="M436" i="3" a="1"/>
  <c r="M436" i="3" s="1"/>
  <c r="P436" i="3" a="1"/>
  <c r="P436" i="3" s="1"/>
  <c r="P438" i="3" a="1"/>
  <c r="P438" i="3" s="1"/>
  <c r="K438" i="3" a="1"/>
  <c r="K438" i="3" s="1"/>
  <c r="P428" i="3" a="1"/>
  <c r="P428" i="3" s="1"/>
  <c r="J439" i="3" a="1"/>
  <c r="J439" i="3" s="1"/>
  <c r="F437" i="3" a="1"/>
  <c r="F437" i="3" s="1"/>
  <c r="P439" i="3" a="1"/>
  <c r="P439" i="3" s="1"/>
  <c r="Q436" i="3" a="1"/>
  <c r="Q436" i="3" s="1"/>
  <c r="K440" i="3" a="1"/>
  <c r="K440" i="3" s="1"/>
  <c r="P440" i="3" a="1"/>
  <c r="P440" i="3" s="1"/>
  <c r="M440" i="3" a="1"/>
  <c r="M440" i="3" s="1"/>
  <c r="J440" i="3" a="1"/>
  <c r="J440" i="3" s="1"/>
  <c r="S440" i="3" a="1"/>
  <c r="S440" i="3" s="1"/>
  <c r="F440" i="3" a="1"/>
  <c r="F440" i="3" s="1"/>
  <c r="R440" i="3" a="1"/>
  <c r="R440" i="3" s="1"/>
  <c r="L440" i="3" a="1"/>
  <c r="L440" i="3" s="1"/>
  <c r="Q440" i="3" a="1"/>
  <c r="Q440" i="3" s="1"/>
  <c r="I137" i="6" a="1"/>
  <c r="I137" i="6" s="1"/>
  <c r="I135" i="6" a="1"/>
  <c r="I135" i="6" s="1"/>
  <c r="H141" i="6" a="1"/>
  <c r="H141" i="6" s="1"/>
  <c r="I136" i="6" a="1"/>
  <c r="I136" i="6" s="1"/>
  <c r="H137" i="6" a="1"/>
  <c r="H137" i="6" s="1"/>
  <c r="H135" i="6" a="1"/>
  <c r="H135" i="6" s="1"/>
  <c r="I138" i="6" a="1"/>
  <c r="I138" i="6" s="1"/>
  <c r="H136" i="6" a="1"/>
  <c r="H136" i="6" s="1"/>
  <c r="I140" i="6" a="1"/>
  <c r="I140" i="6" s="1"/>
  <c r="H138" i="6" a="1"/>
  <c r="H138" i="6" s="1"/>
  <c r="I139" i="6" a="1"/>
  <c r="I139" i="6" s="1"/>
  <c r="H140" i="6" a="1"/>
  <c r="H140" i="6" s="1"/>
  <c r="I141" i="6" a="1"/>
  <c r="I141" i="6" s="1"/>
  <c r="H139" i="6" a="1"/>
  <c r="H139" i="6" s="1"/>
  <c r="H149" i="3" a="1"/>
  <c r="H149" i="3" s="1"/>
  <c r="I254" i="3" a="1"/>
  <c r="I254" i="3" s="1"/>
  <c r="I551" i="3" a="1"/>
  <c r="I551" i="3" s="1"/>
  <c r="I635" i="3" a="1"/>
  <c r="I635" i="3" s="1"/>
  <c r="H553" i="3" a="1"/>
  <c r="H553" i="3" s="1"/>
  <c r="I435" i="3" a="1"/>
  <c r="I435" i="3" s="1"/>
  <c r="H429" i="3" a="1"/>
  <c r="H429" i="3" s="1"/>
  <c r="H11" i="3" a="1"/>
  <c r="H11" i="3" s="1"/>
  <c r="I427" i="3" a="1"/>
  <c r="I427" i="3" s="1"/>
  <c r="H22" i="3" a="1"/>
  <c r="H22" i="3" s="1"/>
  <c r="H342" i="3" a="1"/>
  <c r="H342" i="3" s="1"/>
  <c r="H548" i="3" a="1"/>
  <c r="H548" i="3" s="1"/>
  <c r="I632" i="3" a="1"/>
  <c r="I632" i="3" s="1"/>
  <c r="I250" i="3" a="1"/>
  <c r="I250" i="3" s="1"/>
  <c r="I631" i="3" a="1"/>
  <c r="I631" i="3" s="1"/>
  <c r="H253" i="3" a="1"/>
  <c r="H253" i="3" s="1"/>
  <c r="H24" i="3" a="1"/>
  <c r="H24" i="3" s="1"/>
  <c r="I24" i="3" a="1"/>
  <c r="I24" i="3" s="1"/>
  <c r="I23" i="3" a="1"/>
  <c r="I23" i="3" s="1"/>
  <c r="I25" i="3" a="1"/>
  <c r="I25" i="3" s="1"/>
  <c r="H631" i="3" a="1"/>
  <c r="H631" i="3" s="1"/>
  <c r="I156" i="3" a="1"/>
  <c r="I156" i="3" s="1"/>
  <c r="I12" i="3" a="1"/>
  <c r="I12" i="3" s="1"/>
  <c r="H249" i="3" a="1"/>
  <c r="H249" i="3" s="1"/>
  <c r="I150" i="3" a="1"/>
  <c r="I150" i="3" s="1"/>
  <c r="I550" i="3" a="1"/>
  <c r="I550" i="3" s="1"/>
  <c r="I345" i="3" a="1"/>
  <c r="I345" i="3" s="1"/>
  <c r="H256" i="3" a="1"/>
  <c r="H256" i="3" s="1"/>
  <c r="H21" i="3" a="1"/>
  <c r="H21" i="3" s="1"/>
  <c r="H9" i="3" a="1"/>
  <c r="H9" i="3" s="1"/>
  <c r="I426" i="3" a="1"/>
  <c r="I426" i="3" s="1"/>
  <c r="H248" i="3" a="1"/>
  <c r="H248" i="3" s="1"/>
  <c r="H425" i="3" a="1"/>
  <c r="H425" i="3" s="1"/>
  <c r="I14" i="3" a="1"/>
  <c r="I14" i="3" s="1"/>
  <c r="I13" i="3" a="1"/>
  <c r="I13" i="3" s="1"/>
  <c r="H550" i="3" a="1"/>
  <c r="H550" i="3" s="1"/>
  <c r="I633" i="3" a="1"/>
  <c r="I633" i="3" s="1"/>
  <c r="I152" i="3" a="1"/>
  <c r="I152" i="3" s="1"/>
  <c r="I548" i="3" a="1"/>
  <c r="I548" i="3" s="1"/>
  <c r="H25" i="3" a="1"/>
  <c r="H25" i="3" s="1"/>
  <c r="I154" i="3" a="1"/>
  <c r="I154" i="3" s="1"/>
  <c r="H426" i="3" a="1"/>
  <c r="H426" i="3" s="1"/>
  <c r="H254" i="3" a="1"/>
  <c r="H254" i="3" s="1"/>
  <c r="H551" i="3" a="1"/>
  <c r="H551" i="3" s="1"/>
  <c r="H12" i="3" a="1"/>
  <c r="H12" i="3" s="1"/>
  <c r="I151" i="3" a="1"/>
  <c r="I151" i="3" s="1"/>
  <c r="H435" i="3" a="1"/>
  <c r="H435" i="3" s="1"/>
  <c r="I429" i="3" a="1"/>
  <c r="I429" i="3" s="1"/>
  <c r="I11" i="3" a="1"/>
  <c r="I11" i="3" s="1"/>
  <c r="H23" i="3" a="1"/>
  <c r="H23" i="3" s="1"/>
  <c r="H345" i="3" a="1"/>
  <c r="H345" i="3" s="1"/>
  <c r="H10" i="3" a="1"/>
  <c r="H10" i="3" s="1"/>
  <c r="I10" i="3" a="1"/>
  <c r="I10" i="3" s="1"/>
  <c r="I343" i="3" a="1"/>
  <c r="I343" i="3" s="1"/>
  <c r="I256" i="3" a="1"/>
  <c r="I256" i="3" s="1"/>
  <c r="I149" i="3" a="1"/>
  <c r="I149" i="3" s="1"/>
  <c r="I253" i="3" a="1"/>
  <c r="I253" i="3" s="1"/>
  <c r="H635" i="3" a="1"/>
  <c r="H635" i="3" s="1"/>
  <c r="H150" i="3" a="1"/>
  <c r="H150" i="3" s="1"/>
  <c r="I634" i="3" a="1"/>
  <c r="I634" i="3" s="1"/>
  <c r="I22" i="3" a="1"/>
  <c r="I22" i="3" s="1"/>
  <c r="H549" i="3" a="1"/>
  <c r="H549" i="3" s="1"/>
  <c r="H633" i="3" a="1"/>
  <c r="H633" i="3" s="1"/>
  <c r="I148" i="3" a="1"/>
  <c r="I148" i="3" s="1"/>
  <c r="I341" i="3" a="1"/>
  <c r="I341" i="3" s="1"/>
  <c r="H156" i="3" a="1"/>
  <c r="H156" i="3" s="1"/>
  <c r="H250" i="3" a="1"/>
  <c r="H250" i="3" s="1"/>
  <c r="I441" i="3" a="1"/>
  <c r="I441" i="3" s="1"/>
  <c r="H441" i="3" a="1"/>
  <c r="H441" i="3" s="1"/>
  <c r="I248" i="3" a="1"/>
  <c r="I248" i="3" s="1"/>
  <c r="I249" i="3" a="1"/>
  <c r="I249" i="3" s="1"/>
  <c r="H427" i="3" a="1"/>
  <c r="H427" i="3" s="1"/>
  <c r="I9" i="3" a="1"/>
  <c r="I9" i="3" s="1"/>
  <c r="I425" i="3" a="1"/>
  <c r="I425" i="3" s="1"/>
  <c r="H14" i="3" a="1"/>
  <c r="H14" i="3" s="1"/>
  <c r="H153" i="3" a="1"/>
  <c r="H153" i="3" s="1"/>
  <c r="I153" i="3" a="1"/>
  <c r="I153" i="3" s="1"/>
  <c r="H13" i="3" a="1"/>
  <c r="H13" i="3" s="1"/>
  <c r="I553" i="3" a="1"/>
  <c r="I553" i="3" s="1"/>
  <c r="H151" i="3" a="1"/>
  <c r="H151" i="3" s="1"/>
  <c r="H634" i="3" a="1"/>
  <c r="H634" i="3" s="1"/>
  <c r="H343" i="3" a="1"/>
  <c r="H343" i="3" s="1"/>
  <c r="I549" i="3" a="1"/>
  <c r="I549" i="3" s="1"/>
  <c r="I21" i="3" a="1"/>
  <c r="I21" i="3" s="1"/>
  <c r="H152" i="3" a="1"/>
  <c r="H152" i="3" s="1"/>
  <c r="I342" i="3" a="1"/>
  <c r="I342" i="3" s="1"/>
  <c r="H148" i="3" a="1"/>
  <c r="H148" i="3" s="1"/>
  <c r="H154" i="3" a="1"/>
  <c r="H154" i="3" s="1"/>
  <c r="H341" i="3" a="1"/>
  <c r="H341" i="3" s="1"/>
  <c r="H632" i="3" a="1"/>
  <c r="H632" i="3" s="1"/>
  <c r="H552" i="3" a="1"/>
  <c r="H552" i="3" s="1"/>
  <c r="I252" i="3" a="1"/>
  <c r="I252" i="3" s="1"/>
  <c r="I155" i="3" a="1"/>
  <c r="I155" i="3" s="1"/>
  <c r="H155" i="3" a="1"/>
  <c r="H155" i="3" s="1"/>
  <c r="H252" i="3" a="1"/>
  <c r="H252" i="3" s="1"/>
  <c r="I437" i="3" a="1"/>
  <c r="I437" i="3" s="1"/>
  <c r="I438" i="3" a="1"/>
  <c r="I438" i="3" s="1"/>
  <c r="I552" i="3" a="1"/>
  <c r="I552" i="3" s="1"/>
  <c r="I344" i="3" a="1"/>
  <c r="I344" i="3" s="1"/>
  <c r="H437" i="3" a="1"/>
  <c r="H437" i="3" s="1"/>
  <c r="I428" i="3" a="1"/>
  <c r="I428" i="3" s="1"/>
  <c r="I439" i="3" a="1"/>
  <c r="I439" i="3" s="1"/>
  <c r="I436" i="3" a="1"/>
  <c r="I436" i="3" s="1"/>
  <c r="H428" i="3" a="1"/>
  <c r="H428" i="3" s="1"/>
  <c r="I251" i="3" a="1"/>
  <c r="I251" i="3" s="1"/>
  <c r="H344" i="3" a="1"/>
  <c r="H344" i="3" s="1"/>
  <c r="H436" i="3" a="1"/>
  <c r="H436" i="3" s="1"/>
  <c r="H251" i="3" a="1"/>
  <c r="H251" i="3" s="1"/>
  <c r="H439" i="3" a="1"/>
  <c r="H439" i="3" s="1"/>
  <c r="H438" i="3" a="1"/>
  <c r="H438" i="3" s="1"/>
  <c r="H440" i="3" a="1"/>
  <c r="H440" i="3" s="1"/>
  <c r="I440" i="3" a="1"/>
  <c r="I440" i="3" s="1"/>
  <c r="I255" i="3" a="1"/>
  <c r="I255" i="3" s="1"/>
  <c r="H255" i="3" a="1"/>
  <c r="H255" i="3" s="1"/>
  <c r="AK5" i="6"/>
  <c r="H5" i="6"/>
  <c r="G342" i="3"/>
  <c r="G292" i="6"/>
  <c r="G343" i="3"/>
  <c r="W63" i="5"/>
  <c r="AJ63" i="5"/>
  <c r="R63" i="5"/>
  <c r="G341" i="3"/>
  <c r="V63" i="5"/>
  <c r="AC63" i="5"/>
  <c r="AI63" i="5"/>
  <c r="K63" i="5"/>
  <c r="L63" i="5"/>
  <c r="AD63" i="5"/>
  <c r="M63" i="5"/>
  <c r="S63" i="5"/>
  <c r="X63" i="5"/>
  <c r="AE63" i="5"/>
  <c r="Y63" i="5"/>
  <c r="AK63" i="5"/>
  <c r="H63" i="5"/>
  <c r="N63" i="5"/>
  <c r="T63" i="5"/>
  <c r="Z63" i="5"/>
  <c r="AF63" i="5"/>
  <c r="AL63" i="5"/>
  <c r="I63" i="5"/>
  <c r="O63" i="5"/>
  <c r="U63" i="5"/>
  <c r="AG63" i="5"/>
  <c r="AM63" i="5"/>
  <c r="J63" i="5"/>
  <c r="P63" i="5"/>
  <c r="AA63" i="5"/>
  <c r="AH63" i="5"/>
  <c r="AN63" i="5"/>
  <c r="Q63" i="5"/>
  <c r="AB63" i="5"/>
  <c r="AO63" i="5"/>
  <c r="G551" i="3"/>
  <c r="G256" i="3"/>
  <c r="G156" i="3"/>
  <c r="AO127" i="5"/>
  <c r="G293" i="6"/>
  <c r="G294" i="6"/>
  <c r="G715" i="3"/>
  <c r="G716" i="3"/>
  <c r="AI439" i="3" l="1"/>
  <c r="AI437" i="3"/>
  <c r="AI436" i="3"/>
  <c r="AI440" i="3"/>
  <c r="AI435" i="3"/>
  <c r="AI438" i="3"/>
  <c r="AK372" i="6"/>
  <c r="AK119" i="6"/>
  <c r="AK133" i="6"/>
  <c r="AK289" i="6"/>
  <c r="H119" i="6"/>
  <c r="H133" i="6"/>
  <c r="H372" i="6"/>
  <c r="H289" i="6"/>
  <c r="G253" i="3"/>
  <c r="G254" i="3"/>
  <c r="G250" i="3"/>
  <c r="G248" i="3"/>
  <c r="G249" i="3"/>
  <c r="G150" i="3"/>
  <c r="G23" i="3"/>
  <c r="AO45" i="5"/>
  <c r="G549" i="3"/>
  <c r="G291" i="6"/>
  <c r="G550" i="3"/>
  <c r="G548" i="3"/>
  <c r="AO79" i="5"/>
  <c r="G251" i="3"/>
  <c r="G435" i="3"/>
  <c r="G634" i="3"/>
  <c r="G252" i="3"/>
  <c r="G148" i="3"/>
  <c r="G24" i="3"/>
  <c r="G149" i="3"/>
  <c r="G154" i="3"/>
  <c r="G151" i="3"/>
  <c r="G153" i="3"/>
  <c r="G152" i="3"/>
  <c r="G25" i="3"/>
  <c r="G22" i="3"/>
  <c r="G631" i="3"/>
  <c r="G633" i="3"/>
  <c r="G632" i="3"/>
  <c r="G10" i="3"/>
  <c r="G12" i="3"/>
  <c r="G21" i="3"/>
  <c r="G13" i="3"/>
  <c r="G425" i="3"/>
  <c r="G11" i="3"/>
  <c r="G426" i="3"/>
  <c r="G9" i="3"/>
  <c r="G427" i="3"/>
  <c r="G717" i="3"/>
  <c r="AI441" i="3" l="1"/>
  <c r="AI635" i="3"/>
  <c r="AI14" i="3"/>
  <c r="G255" i="3"/>
  <c r="G428" i="3"/>
  <c r="AI429" i="3" s="1"/>
  <c r="G155" i="3"/>
  <c r="G438" i="3"/>
  <c r="G437" i="3"/>
  <c r="G635" i="3"/>
  <c r="G14" i="3"/>
  <c r="G552" i="3"/>
  <c r="G553" i="3" s="1"/>
  <c r="G295" i="6"/>
  <c r="G296" i="6" s="1"/>
  <c r="G436" i="3"/>
  <c r="G344" i="3"/>
  <c r="G439" i="3"/>
  <c r="G429" i="3" l="1"/>
  <c r="G440" i="3"/>
  <c r="G441" i="3" s="1"/>
  <c r="AW69" i="5" l="1"/>
  <c r="AW289" i="5"/>
  <c r="BA69" i="5"/>
  <c r="BA289" i="5"/>
  <c r="AR715" i="3" a="1"/>
  <c r="AR715" i="3" s="1"/>
  <c r="AS715" i="3" a="1"/>
  <c r="AS715" i="3" s="1"/>
  <c r="Q715" i="3" a="1"/>
  <c r="Q715" i="3" s="1"/>
  <c r="P715" i="3" a="1"/>
  <c r="P715" i="3" s="1"/>
  <c r="BD289" i="5"/>
  <c r="BD69" i="5"/>
  <c r="AR716" i="3" a="1"/>
  <c r="AR716" i="3" s="1"/>
  <c r="P716" i="3" a="1"/>
  <c r="P716" i="3" s="1"/>
  <c r="AS716" i="3" a="1"/>
  <c r="AS716" i="3" s="1"/>
  <c r="Q716" i="3" a="1"/>
  <c r="Q716" i="3" s="1"/>
  <c r="AU289" i="5"/>
  <c r="AU69" i="5"/>
  <c r="AT69" i="5"/>
  <c r="AT289" i="5"/>
  <c r="AS69" i="5"/>
  <c r="AS289" i="5"/>
  <c r="AS73" i="5"/>
  <c r="AS254" i="3" l="1" a="1"/>
  <c r="AS254" i="3" s="1"/>
  <c r="AR254" i="3" a="1"/>
  <c r="AR254" i="3" s="1"/>
  <c r="P254" i="3" a="1"/>
  <c r="P254" i="3" s="1"/>
  <c r="BE69" i="5"/>
  <c r="AV69" i="5"/>
  <c r="O141" i="6" s="1" a="1"/>
  <c r="O141" i="6" s="1"/>
  <c r="AV289" i="5"/>
  <c r="AR69" i="5"/>
  <c r="BB289" i="5"/>
  <c r="AR289" i="5"/>
  <c r="BC69" i="5"/>
  <c r="BE289" i="5"/>
  <c r="BC289" i="5"/>
  <c r="P251" i="3" a="1"/>
  <c r="P251" i="3" s="1"/>
  <c r="P717" i="3" a="1"/>
  <c r="P717" i="3" s="1"/>
  <c r="Q717" i="3" a="1"/>
  <c r="Q717" i="3" s="1"/>
  <c r="AR717" i="3" a="1"/>
  <c r="AR717" i="3" s="1"/>
  <c r="AS717" i="3" a="1"/>
  <c r="AS717" i="3" s="1"/>
  <c r="AQ69" i="5"/>
  <c r="AY289" i="5"/>
  <c r="BF69" i="5"/>
  <c r="AZ289" i="5"/>
  <c r="Q254" i="3" a="1"/>
  <c r="Q254" i="3" s="1"/>
  <c r="AX289" i="5"/>
  <c r="AQ289" i="5"/>
  <c r="AY69" i="5"/>
  <c r="BF289" i="5"/>
  <c r="AZ69" i="5"/>
  <c r="BB69" i="5"/>
  <c r="AX69" i="5"/>
  <c r="BF73" i="5"/>
  <c r="BD73" i="5"/>
  <c r="AT73" i="5"/>
  <c r="BA73" i="5"/>
  <c r="AX73" i="5"/>
  <c r="AW73" i="5"/>
  <c r="AU73" i="5"/>
  <c r="BE73" i="5"/>
  <c r="AZ73" i="5"/>
  <c r="Q251" i="3" l="1" a="1"/>
  <c r="Q251" i="3" s="1"/>
  <c r="N141" i="6" a="1"/>
  <c r="N141" i="6" s="1"/>
  <c r="AR141" i="6" a="1"/>
  <c r="AR141" i="6" s="1"/>
  <c r="AQ141" i="6" a="1"/>
  <c r="AQ141" i="6" s="1"/>
  <c r="AS251" i="3" a="1"/>
  <c r="AS251" i="3" s="1"/>
  <c r="AR251" i="3" a="1"/>
  <c r="AR251" i="3" s="1"/>
  <c r="AS253" i="3" a="1"/>
  <c r="AS253" i="3" s="1"/>
  <c r="AR253" i="3" a="1"/>
  <c r="AR253" i="3" s="1"/>
  <c r="BG289" i="5"/>
  <c r="AQ73" i="5"/>
  <c r="AY73" i="5"/>
  <c r="BB73" i="5"/>
  <c r="BC73" i="5"/>
  <c r="AR73" i="5"/>
  <c r="BG69" i="5"/>
  <c r="AV73" i="5"/>
  <c r="BH289" i="5"/>
  <c r="BH69" i="5"/>
  <c r="P253" i="3" a="1"/>
  <c r="P253" i="3" s="1"/>
  <c r="Q253" i="3" a="1"/>
  <c r="Q253" i="3" s="1"/>
  <c r="BG73" i="5"/>
  <c r="AR137" i="6" l="1" a="1"/>
  <c r="AR137" i="6" s="1"/>
  <c r="AQ137" i="6" a="1"/>
  <c r="AQ137" i="6" s="1"/>
  <c r="AS249" i="3" a="1"/>
  <c r="AS249" i="3" s="1"/>
  <c r="AR249" i="3" a="1"/>
  <c r="AR249" i="3" s="1"/>
  <c r="AS151" i="3" a="1"/>
  <c r="AS151" i="3" s="1"/>
  <c r="AR151" i="3" a="1"/>
  <c r="AR151" i="3" s="1"/>
  <c r="AS252" i="3" a="1"/>
  <c r="AS252" i="3" s="1"/>
  <c r="AR252" i="3" a="1"/>
  <c r="AR252" i="3" s="1"/>
  <c r="Q252" i="3" a="1"/>
  <c r="Q252" i="3" s="1"/>
  <c r="P252" i="3" a="1"/>
  <c r="P252" i="3" s="1"/>
  <c r="N137" i="6" a="1"/>
  <c r="N137" i="6" s="1"/>
  <c r="O137" i="6" a="1"/>
  <c r="O137" i="6" s="1"/>
  <c r="Q151" i="3" a="1"/>
  <c r="Q151" i="3" s="1"/>
  <c r="Q249" i="3" a="1"/>
  <c r="Q249" i="3" s="1"/>
  <c r="P151" i="3" a="1"/>
  <c r="P151" i="3" s="1"/>
  <c r="P249" i="3" a="1"/>
  <c r="P249" i="3" s="1"/>
  <c r="BH73" i="5"/>
  <c r="BI73" i="5" l="1"/>
  <c r="BI69" i="5"/>
  <c r="BI289" i="5"/>
  <c r="AU77" i="5"/>
  <c r="AU79" i="5"/>
  <c r="BB77" i="5"/>
  <c r="BB79" i="5"/>
  <c r="AT77" i="5"/>
  <c r="AT79" i="5"/>
  <c r="AZ77" i="5"/>
  <c r="AZ79" i="5"/>
  <c r="BJ289" i="5" l="1"/>
  <c r="AS77" i="5"/>
  <c r="AS79" i="5"/>
  <c r="BJ69" i="5"/>
  <c r="AX77" i="5"/>
  <c r="AX79" i="5"/>
  <c r="BF77" i="5"/>
  <c r="BF79" i="5"/>
  <c r="AU43" i="5"/>
  <c r="AU45" i="5"/>
  <c r="AZ43" i="5"/>
  <c r="AZ45" i="5"/>
  <c r="BE77" i="5"/>
  <c r="BE79" i="5"/>
  <c r="AY77" i="5"/>
  <c r="AY79" i="5"/>
  <c r="BA77" i="5"/>
  <c r="BA79" i="5"/>
  <c r="AT43" i="5"/>
  <c r="AT45" i="5"/>
  <c r="BB43" i="5"/>
  <c r="BB45" i="5"/>
  <c r="AW77" i="5"/>
  <c r="AW79" i="5"/>
  <c r="BD77" i="5"/>
  <c r="BD79" i="5"/>
  <c r="AS256" i="3" l="1" a="1"/>
  <c r="AS256" i="3" s="1"/>
  <c r="AR21" i="3" a="1"/>
  <c r="AR21" i="3" s="1"/>
  <c r="AS9" i="3" a="1"/>
  <c r="AS9" i="3" s="1"/>
  <c r="AR256" i="3" a="1"/>
  <c r="AR256" i="3" s="1"/>
  <c r="AR9" i="3" a="1"/>
  <c r="AR9" i="3" s="1"/>
  <c r="AS21" i="3" a="1"/>
  <c r="AS21" i="3" s="1"/>
  <c r="AY43" i="5"/>
  <c r="AY45" i="5"/>
  <c r="AV77" i="5"/>
  <c r="AV79" i="5"/>
  <c r="BJ73" i="5"/>
  <c r="AX43" i="5"/>
  <c r="AX45" i="5"/>
  <c r="P9" i="3" a="1"/>
  <c r="P9" i="3" s="1"/>
  <c r="Q9" i="3" a="1"/>
  <c r="Q9" i="3" s="1"/>
  <c r="Q21" i="3" a="1"/>
  <c r="Q21" i="3" s="1"/>
  <c r="P21" i="3" a="1"/>
  <c r="P21" i="3" s="1"/>
  <c r="P256" i="3" a="1"/>
  <c r="P256" i="3" s="1"/>
  <c r="Q256" i="3" a="1"/>
  <c r="Q256" i="3" s="1"/>
  <c r="BK289" i="5"/>
  <c r="BD43" i="5"/>
  <c r="BD45" i="5"/>
  <c r="BK69" i="5"/>
  <c r="BC77" i="5"/>
  <c r="BC79" i="5"/>
  <c r="BE43" i="5"/>
  <c r="BE45" i="5"/>
  <c r="AS43" i="5"/>
  <c r="AS45" i="5"/>
  <c r="AQ77" i="5"/>
  <c r="AQ79" i="5"/>
  <c r="BG77" i="5"/>
  <c r="BG79" i="5"/>
  <c r="BL289" i="5"/>
  <c r="AR77" i="5"/>
  <c r="AR79" i="5"/>
  <c r="AW43" i="5"/>
  <c r="AW45" i="5"/>
  <c r="BA43" i="5"/>
  <c r="BA45" i="5"/>
  <c r="BF43" i="5"/>
  <c r="BF45" i="5"/>
  <c r="BK73" i="5"/>
  <c r="AR156" i="3" l="1" a="1"/>
  <c r="AR156" i="3" s="1"/>
  <c r="AR25" i="3" a="1"/>
  <c r="AR25" i="3" s="1"/>
  <c r="AS156" i="3" a="1"/>
  <c r="AS156" i="3" s="1"/>
  <c r="AS25" i="3" a="1"/>
  <c r="AS25" i="3" s="1"/>
  <c r="AS255" i="3" a="1"/>
  <c r="AS255" i="3" s="1"/>
  <c r="AR255" i="3" a="1"/>
  <c r="AR255" i="3" s="1"/>
  <c r="BL69" i="5"/>
  <c r="AV43" i="5"/>
  <c r="AV45" i="5"/>
  <c r="AR43" i="5"/>
  <c r="AR45" i="5"/>
  <c r="AR14" i="3" a="1"/>
  <c r="AR14" i="3" s="1"/>
  <c r="Q14" i="3" a="1"/>
  <c r="Q14" i="3" s="1"/>
  <c r="P14" i="3" a="1"/>
  <c r="P14" i="3" s="1"/>
  <c r="AS14" i="3" a="1"/>
  <c r="AS14" i="3" s="1"/>
  <c r="BC43" i="5"/>
  <c r="BC45" i="5"/>
  <c r="Q25" i="3" a="1"/>
  <c r="Q25" i="3" s="1"/>
  <c r="P156" i="3" a="1"/>
  <c r="P156" i="3" s="1"/>
  <c r="P25" i="3" a="1"/>
  <c r="P25" i="3" s="1"/>
  <c r="Q156" i="3" a="1"/>
  <c r="Q156" i="3" s="1"/>
  <c r="BH77" i="5"/>
  <c r="BH79" i="5"/>
  <c r="P255" i="3" a="1"/>
  <c r="P255" i="3" s="1"/>
  <c r="Q255" i="3" a="1"/>
  <c r="Q255" i="3" s="1"/>
  <c r="BG43" i="5"/>
  <c r="BG45" i="5"/>
  <c r="AQ43" i="5"/>
  <c r="AQ45" i="5"/>
  <c r="AS155" i="3" l="1" a="1"/>
  <c r="AS155" i="3" s="1"/>
  <c r="AR155" i="3" a="1"/>
  <c r="AR155" i="3" s="1"/>
  <c r="BH43" i="5"/>
  <c r="BH45" i="5"/>
  <c r="BM289" i="5"/>
  <c r="BM69" i="5"/>
  <c r="BI77" i="5"/>
  <c r="BI79" i="5"/>
  <c r="BJ77" i="5"/>
  <c r="BJ79" i="5"/>
  <c r="P155" i="3" a="1"/>
  <c r="P155" i="3" s="1"/>
  <c r="Q155" i="3" a="1"/>
  <c r="Q155" i="3" s="1"/>
  <c r="BI43" i="5"/>
  <c r="BI45" i="5"/>
  <c r="BL73" i="5"/>
  <c r="BM73" i="5"/>
  <c r="BN289" i="5" l="1"/>
  <c r="BO289" i="5"/>
  <c r="BO69" i="5"/>
  <c r="BN69" i="5"/>
  <c r="BJ43" i="5"/>
  <c r="BJ45" i="5"/>
  <c r="BN73" i="5"/>
  <c r="BL77" i="5" l="1"/>
  <c r="BL79" i="5"/>
  <c r="BO73" i="5"/>
  <c r="BP289" i="5" l="1"/>
  <c r="BM77" i="5"/>
  <c r="BM79" i="5"/>
  <c r="BP69" i="5"/>
  <c r="BL43" i="5"/>
  <c r="BL45" i="5"/>
  <c r="BK77" i="5"/>
  <c r="BK79" i="5"/>
  <c r="BQ69" i="5" l="1"/>
  <c r="BQ289" i="5"/>
  <c r="BK43" i="5"/>
  <c r="BK45" i="5"/>
  <c r="BP73" i="5"/>
  <c r="BM43" i="5"/>
  <c r="BM45" i="5"/>
  <c r="BN77" i="5"/>
  <c r="BN79" i="5"/>
  <c r="BQ73" i="5"/>
  <c r="BR69" i="5" l="1"/>
  <c r="BR289" i="5"/>
  <c r="BO77" i="5"/>
  <c r="BO79" i="5"/>
  <c r="BN43" i="5"/>
  <c r="BN45" i="5"/>
  <c r="BS73" i="5" l="1"/>
  <c r="BT289" i="5"/>
  <c r="BR73" i="5"/>
  <c r="BS289" i="5"/>
  <c r="BS69" i="5"/>
  <c r="BP77" i="5"/>
  <c r="BP79" i="5"/>
  <c r="BO43" i="5"/>
  <c r="BO45" i="5"/>
  <c r="BT69" i="5"/>
  <c r="AT715" i="3" a="1"/>
  <c r="AT715" i="3" s="1"/>
  <c r="R715" i="3" a="1"/>
  <c r="R715" i="3" s="1"/>
  <c r="S715" i="3" a="1"/>
  <c r="S715" i="3" s="1"/>
  <c r="AU715" i="3" a="1"/>
  <c r="AU715" i="3" s="1"/>
  <c r="AU253" i="3" l="1" a="1"/>
  <c r="AU253" i="3" s="1"/>
  <c r="AT253" i="3" a="1"/>
  <c r="AT253" i="3" s="1"/>
  <c r="AU249" i="3" a="1"/>
  <c r="AU249" i="3" s="1"/>
  <c r="AT249" i="3" a="1"/>
  <c r="AT249" i="3" s="1"/>
  <c r="AU151" i="3" a="1"/>
  <c r="AU151" i="3" s="1"/>
  <c r="AT151" i="3" a="1"/>
  <c r="AT151" i="3" s="1"/>
  <c r="BT73" i="5"/>
  <c r="BU69" i="5"/>
  <c r="S251" i="3" s="1" a="1"/>
  <c r="S251" i="3" s="1"/>
  <c r="BU289" i="5"/>
  <c r="R253" i="3" a="1"/>
  <c r="R253" i="3" s="1"/>
  <c r="S253" i="3" a="1"/>
  <c r="S253" i="3" s="1"/>
  <c r="BP43" i="5"/>
  <c r="BP45" i="5"/>
  <c r="AT716" i="3" a="1"/>
  <c r="AT716" i="3" s="1"/>
  <c r="S716" i="3" a="1"/>
  <c r="S716" i="3" s="1"/>
  <c r="R716" i="3" a="1"/>
  <c r="R716" i="3" s="1"/>
  <c r="AU716" i="3" a="1"/>
  <c r="AU716" i="3" s="1"/>
  <c r="R151" i="3" a="1"/>
  <c r="R151" i="3" s="1"/>
  <c r="R249" i="3" a="1"/>
  <c r="R249" i="3" s="1"/>
  <c r="S151" i="3" a="1"/>
  <c r="S151" i="3" s="1"/>
  <c r="S249" i="3" a="1"/>
  <c r="S249" i="3" s="1"/>
  <c r="BQ77" i="5"/>
  <c r="BQ79" i="5"/>
  <c r="BU73" i="5"/>
  <c r="AU254" i="3" l="1" a="1"/>
  <c r="AU254" i="3" s="1"/>
  <c r="AT254" i="3" a="1"/>
  <c r="AT254" i="3" s="1"/>
  <c r="AU252" i="3" a="1"/>
  <c r="AU252" i="3" s="1"/>
  <c r="AT252" i="3" a="1"/>
  <c r="AT252" i="3" s="1"/>
  <c r="R251" i="3" a="1"/>
  <c r="R251" i="3" s="1"/>
  <c r="AU251" i="3" a="1"/>
  <c r="AU251" i="3" s="1"/>
  <c r="AT251" i="3" a="1"/>
  <c r="AT251" i="3" s="1"/>
  <c r="S254" i="3" a="1"/>
  <c r="S254" i="3" s="1"/>
  <c r="R254" i="3" a="1"/>
  <c r="R254" i="3" s="1"/>
  <c r="R717" i="3" a="1"/>
  <c r="R717" i="3" s="1"/>
  <c r="AT717" i="3" a="1"/>
  <c r="AT717" i="3" s="1"/>
  <c r="AU717" i="3" a="1"/>
  <c r="AU717" i="3" s="1"/>
  <c r="S717" i="3" a="1"/>
  <c r="S717" i="3" s="1"/>
  <c r="BQ43" i="5"/>
  <c r="BQ45" i="5"/>
  <c r="S252" i="3" a="1"/>
  <c r="S252" i="3" s="1"/>
  <c r="R252" i="3" a="1"/>
  <c r="R252" i="3" s="1"/>
  <c r="BS77" i="5" l="1"/>
  <c r="BS79" i="5"/>
  <c r="BT77" i="5" l="1"/>
  <c r="BT79" i="5"/>
  <c r="BS43" i="5"/>
  <c r="BS45" i="5"/>
  <c r="BR77" i="5"/>
  <c r="BR79" i="5"/>
  <c r="AU21" i="3" l="1" a="1"/>
  <c r="AU21" i="3" s="1"/>
  <c r="AU256" i="3" a="1"/>
  <c r="AU256" i="3" s="1"/>
  <c r="AT21" i="3" a="1"/>
  <c r="AT21" i="3" s="1"/>
  <c r="AU9" i="3" a="1"/>
  <c r="AU9" i="3" s="1"/>
  <c r="AT256" i="3" a="1"/>
  <c r="AT256" i="3" s="1"/>
  <c r="AT9" i="3" a="1"/>
  <c r="AT9" i="3" s="1"/>
  <c r="BR43" i="5"/>
  <c r="BR45" i="5"/>
  <c r="BT43" i="5"/>
  <c r="BT45" i="5"/>
  <c r="R9" i="3" a="1"/>
  <c r="R9" i="3" s="1"/>
  <c r="S256" i="3" a="1"/>
  <c r="S256" i="3" s="1"/>
  <c r="S9" i="3" a="1"/>
  <c r="S9" i="3" s="1"/>
  <c r="R256" i="3" a="1"/>
  <c r="R256" i="3" s="1"/>
  <c r="S21" i="3" a="1"/>
  <c r="S21" i="3" s="1"/>
  <c r="R21" i="3" a="1"/>
  <c r="R21" i="3" s="1"/>
  <c r="BU77" i="5"/>
  <c r="BU79" i="5"/>
  <c r="AU156" i="3" l="1" a="1"/>
  <c r="AU156" i="3" s="1"/>
  <c r="AU25" i="3" a="1"/>
  <c r="AU25" i="3" s="1"/>
  <c r="AT156" i="3" a="1"/>
  <c r="AT156" i="3" s="1"/>
  <c r="AT25" i="3" a="1"/>
  <c r="AT25" i="3" s="1"/>
  <c r="R255" i="3" a="1"/>
  <c r="R255" i="3" s="1"/>
  <c r="AU255" i="3" a="1"/>
  <c r="AU255" i="3" s="1"/>
  <c r="AT255" i="3" a="1"/>
  <c r="AT255" i="3" s="1"/>
  <c r="R14" i="3" a="1"/>
  <c r="R14" i="3" s="1"/>
  <c r="S14" i="3" a="1"/>
  <c r="S14" i="3" s="1"/>
  <c r="AU14" i="3" a="1"/>
  <c r="AU14" i="3" s="1"/>
  <c r="AT14" i="3" a="1"/>
  <c r="AT14" i="3" s="1"/>
  <c r="R25" i="3" a="1"/>
  <c r="R25" i="3" s="1"/>
  <c r="S156" i="3" a="1"/>
  <c r="S156" i="3" s="1"/>
  <c r="R156" i="3" a="1"/>
  <c r="R156" i="3" s="1"/>
  <c r="S25" i="3" a="1"/>
  <c r="S25" i="3" s="1"/>
  <c r="BU43" i="5"/>
  <c r="BU45" i="5"/>
  <c r="S255" i="3" a="1"/>
  <c r="S255" i="3" s="1"/>
  <c r="AU155" i="3" l="1" a="1"/>
  <c r="AU155" i="3" s="1"/>
  <c r="AT155" i="3" a="1"/>
  <c r="AT155" i="3" s="1"/>
  <c r="S155" i="3" a="1"/>
  <c r="S155" i="3" s="1"/>
  <c r="R155" i="3" a="1"/>
  <c r="R155" i="3" s="1"/>
  <c r="AR124" i="6" l="1" a="1"/>
  <c r="AR124" i="6" s="1"/>
  <c r="AQ124" i="6" a="1"/>
  <c r="AQ124" i="6" s="1"/>
  <c r="AR12" i="6" a="1"/>
  <c r="AR12" i="6" s="1"/>
  <c r="AQ12" i="6" a="1"/>
  <c r="AQ12" i="6" s="1"/>
  <c r="AN124" i="6" a="1"/>
  <c r="AN124" i="6" s="1"/>
  <c r="AM124" i="6" a="1"/>
  <c r="AM124" i="6" s="1"/>
  <c r="AL124" i="6" a="1"/>
  <c r="AL124" i="6" s="1"/>
  <c r="AK124" i="6" a="1"/>
  <c r="AK124" i="6" s="1"/>
  <c r="AI124" i="6" a="1"/>
  <c r="AI124" i="6" s="1"/>
  <c r="AR123" i="6" a="1"/>
  <c r="AR123" i="6" s="1"/>
  <c r="AQ123" i="6" a="1"/>
  <c r="AQ123" i="6" s="1"/>
  <c r="AR10" i="6" a="1"/>
  <c r="AR10" i="6" s="1"/>
  <c r="AQ10" i="6" a="1"/>
  <c r="AQ10" i="6" s="1"/>
  <c r="AL123" i="6" a="1"/>
  <c r="AL123" i="6" s="1"/>
  <c r="AK123" i="6" a="1"/>
  <c r="AK123" i="6" s="1"/>
  <c r="AI123" i="6" a="1"/>
  <c r="AI123" i="6" s="1"/>
  <c r="AN123" i="6" a="1"/>
  <c r="AN123" i="6" s="1"/>
  <c r="AM123" i="6" a="1"/>
  <c r="AM123" i="6" s="1"/>
  <c r="O123" i="6" a="1"/>
  <c r="O123" i="6" s="1"/>
  <c r="N123" i="6" a="1"/>
  <c r="N123" i="6" s="1"/>
  <c r="K124" i="6" a="1"/>
  <c r="K124" i="6" s="1"/>
  <c r="F124" i="6" a="1"/>
  <c r="F124" i="6" s="1"/>
  <c r="J124" i="6" a="1"/>
  <c r="J124" i="6" s="1"/>
  <c r="I124" i="6" a="1"/>
  <c r="I124" i="6" s="1"/>
  <c r="H124" i="6" a="1"/>
  <c r="H124" i="6" s="1"/>
  <c r="N10" i="6" a="1"/>
  <c r="N10" i="6" s="1"/>
  <c r="O10" i="6" a="1"/>
  <c r="O10" i="6" s="1"/>
  <c r="K12" i="6" a="1"/>
  <c r="K12" i="6" s="1"/>
  <c r="H12" i="6" a="1"/>
  <c r="H12" i="6" s="1"/>
  <c r="AP241" i="5"/>
  <c r="F12" i="6" a="1"/>
  <c r="F12" i="6" s="1"/>
  <c r="J12" i="6" a="1"/>
  <c r="J12" i="6" s="1"/>
  <c r="I12" i="6" a="1"/>
  <c r="I12" i="6" s="1"/>
  <c r="I123" i="6" a="1"/>
  <c r="I123" i="6" s="1"/>
  <c r="F123" i="6" a="1"/>
  <c r="F123" i="6" s="1"/>
  <c r="H123" i="6" a="1"/>
  <c r="H123" i="6" s="1"/>
  <c r="J123" i="6" a="1"/>
  <c r="J123" i="6" s="1"/>
  <c r="K123" i="6" a="1"/>
  <c r="K123" i="6" s="1"/>
  <c r="N124" i="6" a="1"/>
  <c r="N124" i="6" s="1"/>
  <c r="O124" i="6" a="1"/>
  <c r="O124" i="6" s="1"/>
  <c r="N12" i="6" a="1"/>
  <c r="N12" i="6" s="1"/>
  <c r="O12" i="6" a="1"/>
  <c r="O12" i="6" s="1"/>
  <c r="AO241" i="5"/>
  <c r="AO245" i="5"/>
  <c r="AO243" i="5"/>
  <c r="AP245" i="5"/>
  <c r="H10" i="6" a="1"/>
  <c r="H10" i="6" s="1"/>
  <c r="J10" i="6" a="1"/>
  <c r="J10" i="6" s="1"/>
  <c r="I10" i="6" a="1"/>
  <c r="I10" i="6" s="1"/>
  <c r="F10" i="6" a="1"/>
  <c r="F10" i="6" s="1"/>
  <c r="AP243" i="5"/>
  <c r="K10" i="6" a="1"/>
  <c r="K10" i="6" s="1"/>
  <c r="AO240" i="5" l="1"/>
  <c r="AI377" i="6" l="1" a="1"/>
  <c r="AI377" i="6" s="1"/>
  <c r="AL377" i="6" a="1"/>
  <c r="AL377" i="6" s="1"/>
  <c r="AK377" i="6" a="1"/>
  <c r="AK377" i="6" s="1"/>
  <c r="AP308" i="5"/>
  <c r="I11" i="6" a="1"/>
  <c r="I11" i="6" s="1"/>
  <c r="F11" i="6" a="1"/>
  <c r="F11" i="6" s="1"/>
  <c r="F377" i="6" a="1"/>
  <c r="F377" i="6" s="1"/>
  <c r="AP240" i="5"/>
  <c r="H377" i="6" a="1"/>
  <c r="H377" i="6" s="1"/>
  <c r="I377" i="6" a="1"/>
  <c r="I377" i="6" s="1"/>
  <c r="H11" i="6" a="1"/>
  <c r="H11" i="6" s="1"/>
  <c r="AJ375" i="6" l="1"/>
  <c r="AJ377" i="6"/>
  <c r="AJ376" i="6"/>
  <c r="G375" i="6"/>
  <c r="G377" i="6"/>
  <c r="G376" i="6"/>
  <c r="AN377" i="6" l="1" a="1"/>
  <c r="AN377" i="6" s="1"/>
  <c r="AM377" i="6" a="1"/>
  <c r="AM377" i="6" s="1"/>
  <c r="K11" i="6" a="1"/>
  <c r="K11" i="6" s="1"/>
  <c r="J11" i="6" a="1"/>
  <c r="J11" i="6" s="1"/>
  <c r="K377" i="6" a="1"/>
  <c r="K377" i="6" s="1"/>
  <c r="J377" i="6" a="1"/>
  <c r="J377" i="6" s="1"/>
  <c r="AN374" i="6" l="1" a="1"/>
  <c r="AN374" i="6" s="1"/>
  <c r="AM374" i="6" a="1"/>
  <c r="AM374" i="6" s="1"/>
  <c r="AL374" i="6" a="1"/>
  <c r="AL374" i="6" s="1"/>
  <c r="AK374" i="6" a="1"/>
  <c r="AK374" i="6" s="1"/>
  <c r="AI374" i="6" a="1"/>
  <c r="AI374" i="6" s="1"/>
  <c r="AJ374" i="6" s="1"/>
  <c r="K374" i="6" a="1"/>
  <c r="K374" i="6" s="1"/>
  <c r="AP305" i="5"/>
  <c r="F374" i="6" a="1"/>
  <c r="F374" i="6" s="1"/>
  <c r="I374" i="6" a="1"/>
  <c r="I374" i="6" s="1"/>
  <c r="H374" i="6" a="1"/>
  <c r="H374" i="6" s="1"/>
  <c r="J374" i="6" a="1"/>
  <c r="J374" i="6" s="1"/>
  <c r="AN121" i="6" l="1" a="1"/>
  <c r="AN121" i="6" s="1"/>
  <c r="AM121" i="6" a="1"/>
  <c r="AM121" i="6" s="1"/>
  <c r="AL121" i="6" a="1"/>
  <c r="AL121" i="6" s="1"/>
  <c r="AK121" i="6" a="1"/>
  <c r="AK121" i="6" s="1"/>
  <c r="AI121" i="6" a="1"/>
  <c r="AI121" i="6" s="1"/>
  <c r="H121" i="6" a="1"/>
  <c r="H121" i="6" s="1"/>
  <c r="K121" i="6" a="1"/>
  <c r="K121" i="6" s="1"/>
  <c r="F121" i="6" a="1"/>
  <c r="F121" i="6" s="1"/>
  <c r="I121" i="6" a="1"/>
  <c r="I121" i="6" s="1"/>
  <c r="J121" i="6" a="1"/>
  <c r="J121" i="6" s="1"/>
  <c r="G374" i="6"/>
  <c r="AN122" i="6" l="1" a="1"/>
  <c r="AN122" i="6" s="1"/>
  <c r="AM122" i="6" a="1"/>
  <c r="AM122" i="6" s="1"/>
  <c r="AL122" i="6" a="1"/>
  <c r="AL122" i="6" s="1"/>
  <c r="AK122" i="6" a="1"/>
  <c r="AK122" i="6" s="1"/>
  <c r="AI122" i="6" a="1"/>
  <c r="AI122" i="6" s="1"/>
  <c r="F122" i="6" a="1"/>
  <c r="F122" i="6" s="1"/>
  <c r="I122" i="6" a="1"/>
  <c r="I122" i="6" s="1"/>
  <c r="K122" i="6" a="1"/>
  <c r="K122" i="6" s="1"/>
  <c r="H122" i="6" a="1"/>
  <c r="H122" i="6" s="1"/>
  <c r="J122" i="6" a="1"/>
  <c r="J122" i="6" s="1"/>
  <c r="AR122" i="6" l="1" a="1"/>
  <c r="AR122" i="6" s="1"/>
  <c r="AQ122" i="6" a="1"/>
  <c r="AQ122" i="6" s="1"/>
  <c r="N122" i="6" a="1"/>
  <c r="N122" i="6" s="1"/>
  <c r="O122" i="6" a="1"/>
  <c r="O122" i="6" s="1"/>
  <c r="O374" i="6" l="1" a="1"/>
  <c r="O374" i="6" s="1"/>
  <c r="AQ374" i="6" a="1"/>
  <c r="AQ374" i="6" s="1"/>
  <c r="N374" i="6" a="1"/>
  <c r="N374" i="6" s="1"/>
  <c r="AR374" i="6" a="1"/>
  <c r="AR374" i="6" s="1"/>
  <c r="AR11" i="6" l="1" a="1"/>
  <c r="AR11" i="6" s="1"/>
  <c r="AQ11" i="6" a="1"/>
  <c r="AQ11" i="6" s="1"/>
  <c r="AQ377" i="6" a="1"/>
  <c r="AQ377" i="6" s="1"/>
  <c r="O377" i="6" a="1"/>
  <c r="O377" i="6" s="1"/>
  <c r="AR377" i="6" a="1"/>
  <c r="AR377" i="6" s="1"/>
  <c r="N377" i="6" a="1"/>
  <c r="N377" i="6" s="1"/>
  <c r="O11" i="6" a="1"/>
  <c r="O11" i="6" s="1"/>
  <c r="N11" i="6" a="1"/>
  <c r="N11" i="6" s="1"/>
  <c r="X281" i="5" l="1"/>
  <c r="X279" i="5"/>
  <c r="Y281" i="5" l="1"/>
  <c r="Y279" i="5"/>
  <c r="Z281" i="5" l="1"/>
  <c r="Z279" i="5"/>
  <c r="W281" i="5"/>
  <c r="W279" i="5"/>
  <c r="AL279" i="5" l="1"/>
  <c r="AL281" i="5"/>
  <c r="AK281" i="5"/>
  <c r="AK279" i="5"/>
  <c r="AB281" i="5" l="1"/>
  <c r="AB279" i="5"/>
  <c r="AN281" i="5"/>
  <c r="AN279" i="5"/>
  <c r="AC281" i="5"/>
  <c r="AC279" i="5"/>
  <c r="AA281" i="5"/>
  <c r="AA279" i="5"/>
  <c r="AM281" i="5" l="1"/>
  <c r="AM279" i="5"/>
  <c r="AE281" i="5" l="1"/>
  <c r="AE279" i="5"/>
  <c r="AD281" i="5"/>
  <c r="AD279" i="5"/>
  <c r="AK143" i="6" l="1" a="1"/>
  <c r="AK143" i="6" s="1"/>
  <c r="AI143" i="6" a="1"/>
  <c r="AI143" i="6" s="1"/>
  <c r="AN144" i="6" a="1"/>
  <c r="AN144" i="6" s="1"/>
  <c r="AM144" i="6" a="1"/>
  <c r="AM144" i="6" s="1"/>
  <c r="AN143" i="6" a="1"/>
  <c r="AN143" i="6" s="1"/>
  <c r="AM143" i="6" a="1"/>
  <c r="AM143" i="6" s="1"/>
  <c r="AL143" i="6" a="1"/>
  <c r="AL143" i="6" s="1"/>
  <c r="H143" i="6" a="1"/>
  <c r="H143" i="6" s="1"/>
  <c r="K144" i="6" a="1"/>
  <c r="K144" i="6" s="1"/>
  <c r="I143" i="6" a="1"/>
  <c r="I143" i="6" s="1"/>
  <c r="F143" i="6" a="1"/>
  <c r="F143" i="6" s="1"/>
  <c r="J143" i="6" a="1"/>
  <c r="J143" i="6" s="1"/>
  <c r="AP294" i="5"/>
  <c r="J144" i="6" a="1"/>
  <c r="J144" i="6" s="1"/>
  <c r="K143" i="6" a="1"/>
  <c r="K143" i="6" s="1"/>
  <c r="AP279" i="5"/>
  <c r="AP281" i="5"/>
  <c r="AO281" i="5"/>
  <c r="AO279" i="5"/>
  <c r="AN142" i="6" l="1" a="1"/>
  <c r="AN142" i="6" s="1"/>
  <c r="AM142" i="6" a="1"/>
  <c r="AM142" i="6" s="1"/>
  <c r="AL142" i="6" a="1"/>
  <c r="AL142" i="6" s="1"/>
  <c r="AK142" i="6" a="1"/>
  <c r="AK142" i="6" s="1"/>
  <c r="AI142" i="6" a="1"/>
  <c r="AI142" i="6" s="1"/>
  <c r="AJ140" i="6"/>
  <c r="AJ138" i="6"/>
  <c r="AJ139" i="6"/>
  <c r="AJ137" i="6"/>
  <c r="AJ136" i="6"/>
  <c r="AJ135" i="6"/>
  <c r="AJ141" i="6"/>
  <c r="AF281" i="5"/>
  <c r="AF279" i="5"/>
  <c r="AO295" i="5"/>
  <c r="AG281" i="5"/>
  <c r="AG279" i="5"/>
  <c r="AP295" i="5"/>
  <c r="AP293" i="5"/>
  <c r="F142" i="6" a="1"/>
  <c r="F142" i="6" s="1"/>
  <c r="AJ142" i="6" s="1"/>
  <c r="I142" i="6" a="1"/>
  <c r="I142" i="6" s="1"/>
  <c r="K142" i="6" a="1"/>
  <c r="K142" i="6" s="1"/>
  <c r="H142" i="6" a="1"/>
  <c r="H142" i="6" s="1"/>
  <c r="J142" i="6" a="1"/>
  <c r="J142" i="6" s="1"/>
  <c r="G135" i="6"/>
  <c r="G137" i="6"/>
  <c r="G136" i="6"/>
  <c r="G141" i="6"/>
  <c r="G140" i="6"/>
  <c r="G138" i="6"/>
  <c r="G139" i="6"/>
  <c r="AJ143" i="6" l="1"/>
  <c r="G142" i="6"/>
  <c r="G143" i="6" s="1"/>
  <c r="AH279" i="5"/>
  <c r="AH281" i="5"/>
  <c r="AI281" i="5" l="1"/>
  <c r="AI279" i="5"/>
  <c r="AJ281" i="5" l="1"/>
  <c r="AJ279" i="5"/>
  <c r="AI125" i="6" l="1" a="1"/>
  <c r="AI125" i="6" s="1"/>
  <c r="AN126" i="6" a="1"/>
  <c r="AN126" i="6" s="1"/>
  <c r="AM126" i="6" a="1"/>
  <c r="AM126" i="6" s="1"/>
  <c r="AP242" i="5"/>
  <c r="J126" i="6" a="1"/>
  <c r="J126" i="6" s="1"/>
  <c r="F125" i="6" a="1"/>
  <c r="F125" i="6" s="1"/>
  <c r="K126" i="6" a="1"/>
  <c r="K126" i="6" s="1"/>
  <c r="J9" i="6" a="1"/>
  <c r="J9" i="6" s="1"/>
  <c r="K9" i="6" a="1"/>
  <c r="K9" i="6" s="1"/>
  <c r="AP236" i="5"/>
  <c r="AI13" i="6" l="1" a="1"/>
  <c r="AI13" i="6" s="1"/>
  <c r="AJ125" i="6"/>
  <c r="AJ124" i="6"/>
  <c r="AJ123" i="6"/>
  <c r="AJ121" i="6"/>
  <c r="AJ122" i="6"/>
  <c r="G125" i="6"/>
  <c r="G123" i="6"/>
  <c r="G124" i="6"/>
  <c r="G121" i="6"/>
  <c r="G122" i="6"/>
  <c r="F13" i="6" a="1"/>
  <c r="F13" i="6" s="1"/>
  <c r="AP244" i="5"/>
  <c r="AJ8" i="6" l="1"/>
  <c r="AJ11" i="6"/>
  <c r="AJ12" i="6"/>
  <c r="AJ10" i="6"/>
  <c r="G10" i="6"/>
  <c r="G12" i="6"/>
  <c r="G11" i="6"/>
  <c r="G8" i="6"/>
  <c r="AJ13" i="6" l="1"/>
  <c r="AN125" i="6" a="1"/>
  <c r="AN125" i="6" s="1"/>
  <c r="AM125" i="6" a="1"/>
  <c r="AM125" i="6" s="1"/>
  <c r="G13" i="6"/>
  <c r="W236" i="5"/>
  <c r="J8" i="6" a="1"/>
  <c r="J8" i="6" s="1"/>
  <c r="K125" i="6" a="1"/>
  <c r="K125" i="6" s="1"/>
  <c r="K8" i="6" a="1"/>
  <c r="K8" i="6" s="1"/>
  <c r="J125" i="6" a="1"/>
  <c r="J125" i="6" s="1"/>
  <c r="AN13" i="6" l="1" a="1"/>
  <c r="AN13" i="6" s="1"/>
  <c r="AM13" i="6" a="1"/>
  <c r="AM13" i="6" s="1"/>
  <c r="AR13" i="6" a="1"/>
  <c r="AR13" i="6" s="1"/>
  <c r="AQ13" i="6" a="1"/>
  <c r="AQ13" i="6" s="1"/>
  <c r="N13" i="6" a="1"/>
  <c r="N13" i="6" s="1"/>
  <c r="O13" i="6" a="1"/>
  <c r="O13" i="6" s="1"/>
  <c r="K13" i="6" a="1"/>
  <c r="K13" i="6" s="1"/>
  <c r="J13" i="6" a="1"/>
  <c r="J13" i="6" s="1"/>
  <c r="X236" i="5"/>
  <c r="Y236" i="5" l="1"/>
  <c r="Z236" i="5" l="1"/>
  <c r="AA236" i="5" l="1"/>
  <c r="AB236" i="5" l="1"/>
  <c r="AC236" i="5" l="1"/>
  <c r="AD236" i="5" l="1"/>
  <c r="AE236" i="5" l="1"/>
  <c r="AF236" i="5" l="1"/>
  <c r="AG236" i="5" l="1"/>
  <c r="AH236" i="5" l="1"/>
  <c r="AI236" i="5" l="1"/>
  <c r="AJ236" i="5" l="1"/>
  <c r="AK236" i="5" l="1"/>
  <c r="AL236" i="5" l="1"/>
  <c r="AM236" i="5" l="1"/>
  <c r="AN236" i="5" l="1"/>
  <c r="AL125" i="6" l="1" a="1"/>
  <c r="AL125" i="6" s="1"/>
  <c r="AK125" i="6" a="1"/>
  <c r="AK125" i="6" s="1"/>
  <c r="AO242" i="5"/>
  <c r="AO236" i="5"/>
  <c r="H125" i="6" a="1"/>
  <c r="H125" i="6" s="1"/>
  <c r="H8" i="6" a="1"/>
  <c r="H8" i="6" s="1"/>
  <c r="I125" i="6" a="1"/>
  <c r="I125" i="6" s="1"/>
  <c r="I8" i="6" a="1"/>
  <c r="I8" i="6" s="1"/>
  <c r="AL13" i="6" l="1" a="1"/>
  <c r="AL13" i="6" s="1"/>
  <c r="AK13" i="6" a="1"/>
  <c r="AK13" i="6" s="1"/>
  <c r="AO244" i="5"/>
  <c r="I13" i="6" a="1"/>
  <c r="I13" i="6" s="1"/>
  <c r="H13" i="6" a="1"/>
  <c r="H13" i="6" s="1"/>
  <c r="AR121" i="6" l="1" a="1"/>
  <c r="AR121" i="6" s="1"/>
  <c r="AQ121" i="6" a="1"/>
  <c r="AQ121" i="6" s="1"/>
  <c r="O121" i="6" a="1"/>
  <c r="O121" i="6" s="1"/>
  <c r="N121" i="6" a="1"/>
  <c r="N121" i="6" s="1"/>
  <c r="AT295" i="5" l="1"/>
  <c r="AT293" i="5"/>
  <c r="AZ295" i="5"/>
  <c r="AZ293" i="5"/>
  <c r="AU295" i="5"/>
  <c r="AU293" i="5"/>
  <c r="BB295" i="5"/>
  <c r="BB293" i="5"/>
  <c r="AR125" i="6" l="1" a="1"/>
  <c r="AR125" i="6" s="1"/>
  <c r="AQ8" i="6" a="1"/>
  <c r="AQ8" i="6" s="1"/>
  <c r="AR143" i="6" a="1"/>
  <c r="AR143" i="6" s="1"/>
  <c r="AQ125" i="6" a="1"/>
  <c r="AQ125" i="6" s="1"/>
  <c r="AQ143" i="6" a="1"/>
  <c r="AQ143" i="6" s="1"/>
  <c r="AR9" i="6" a="1"/>
  <c r="AR9" i="6" s="1"/>
  <c r="AR126" i="6" a="1"/>
  <c r="AR126" i="6" s="1"/>
  <c r="AQ9" i="6" a="1"/>
  <c r="AQ9" i="6" s="1"/>
  <c r="AR144" i="6" a="1"/>
  <c r="AR144" i="6" s="1"/>
  <c r="AQ126" i="6" a="1"/>
  <c r="AQ126" i="6" s="1"/>
  <c r="AQ144" i="6" a="1"/>
  <c r="AQ144" i="6" s="1"/>
  <c r="AR8" i="6" a="1"/>
  <c r="AR8" i="6" s="1"/>
  <c r="AW293" i="5"/>
  <c r="AW295" i="5"/>
  <c r="AS293" i="5"/>
  <c r="AS295" i="5"/>
  <c r="BE293" i="5"/>
  <c r="BE295" i="5"/>
  <c r="BA293" i="5"/>
  <c r="BA295" i="5"/>
  <c r="BD293" i="5"/>
  <c r="BD295" i="5"/>
  <c r="AY295" i="5"/>
  <c r="AY293" i="5"/>
  <c r="AX295" i="5"/>
  <c r="AX293" i="5"/>
  <c r="BF295" i="5"/>
  <c r="BF293" i="5"/>
  <c r="O125" i="6" a="1"/>
  <c r="O125" i="6" s="1"/>
  <c r="O9" i="6" a="1"/>
  <c r="O9" i="6" s="1"/>
  <c r="N9" i="6" a="1"/>
  <c r="N9" i="6" s="1"/>
  <c r="O143" i="6" a="1"/>
  <c r="O143" i="6" s="1"/>
  <c r="N143" i="6" a="1"/>
  <c r="N143" i="6" s="1"/>
  <c r="O126" i="6" a="1"/>
  <c r="O126" i="6" s="1"/>
  <c r="O8" i="6" a="1"/>
  <c r="O8" i="6" s="1"/>
  <c r="O144" i="6" a="1"/>
  <c r="O144" i="6" s="1"/>
  <c r="N126" i="6" a="1"/>
  <c r="N126" i="6" s="1"/>
  <c r="N125" i="6" a="1"/>
  <c r="N125" i="6" s="1"/>
  <c r="N144" i="6" a="1"/>
  <c r="N144" i="6" s="1"/>
  <c r="N8" i="6" a="1"/>
  <c r="N8" i="6" s="1"/>
  <c r="AV293" i="5" l="1"/>
  <c r="AV295" i="5"/>
  <c r="BC295" i="5"/>
  <c r="BC293" i="5"/>
  <c r="AR293" i="5"/>
  <c r="AR295" i="5"/>
  <c r="AQ295" i="5"/>
  <c r="AQ293" i="5"/>
  <c r="BG295" i="5"/>
  <c r="BG293" i="5"/>
  <c r="AR142" i="6" l="1" a="1"/>
  <c r="AR142" i="6" s="1"/>
  <c r="AQ142" i="6" a="1"/>
  <c r="AQ142" i="6" s="1"/>
  <c r="BI293" i="5"/>
  <c r="BI295" i="5"/>
  <c r="BH295" i="5"/>
  <c r="BH293" i="5"/>
  <c r="O142" i="6" a="1"/>
  <c r="O142" i="6" s="1"/>
  <c r="N142" i="6" a="1"/>
  <c r="N142" i="6" s="1"/>
  <c r="BJ295" i="5" l="1"/>
  <c r="BJ293" i="5"/>
  <c r="BL295" i="5" l="1"/>
  <c r="BL293" i="5"/>
  <c r="BM293" i="5" l="1"/>
  <c r="BM295" i="5"/>
  <c r="BK295" i="5"/>
  <c r="BK293" i="5"/>
  <c r="BN293" i="5" l="1"/>
  <c r="BN295" i="5"/>
  <c r="BO295" i="5" l="1"/>
  <c r="BO293" i="5"/>
  <c r="BP293" i="5" l="1"/>
  <c r="BP295" i="5"/>
  <c r="BQ293" i="5" l="1"/>
  <c r="BQ295" i="5"/>
  <c r="BS295" i="5" l="1"/>
  <c r="BS293" i="5"/>
  <c r="BR293" i="5" l="1"/>
  <c r="BR295" i="5"/>
  <c r="BT295" i="5"/>
  <c r="BT293" i="5"/>
  <c r="BU295" i="5" l="1"/>
  <c r="BU293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<sst xmlns="http://schemas.openxmlformats.org/spreadsheetml/2006/main" count="2358" uniqueCount="478">
  <si>
    <t>Upplýsingar um skjalið</t>
  </si>
  <si>
    <t>Úrgangur</t>
  </si>
  <si>
    <t>Landbúnaður</t>
  </si>
  <si>
    <t>Orka</t>
  </si>
  <si>
    <t>%</t>
  </si>
  <si>
    <t>Fiskiskip</t>
  </si>
  <si>
    <t>Vegasamgöngur</t>
  </si>
  <si>
    <t>Innanlandsflug</t>
  </si>
  <si>
    <t>Strandsiglingar</t>
  </si>
  <si>
    <t>Vélar og tæki</t>
  </si>
  <si>
    <t>Jarðvarmavirkjanir</t>
  </si>
  <si>
    <t>Annað</t>
  </si>
  <si>
    <t>Samtals</t>
  </si>
  <si>
    <t>ORKA</t>
  </si>
  <si>
    <t>ÚRGANGUR</t>
  </si>
  <si>
    <t>Álframleiðsla</t>
  </si>
  <si>
    <t>F-gös (m.a. kælimiðlar)</t>
  </si>
  <si>
    <t>Iðragerjun</t>
  </si>
  <si>
    <t>Meðhöndlun húsdýraáburðar</t>
  </si>
  <si>
    <t>Nytjajarðvegur</t>
  </si>
  <si>
    <t>Áburðarnotkun í landbúnaði</t>
  </si>
  <si>
    <t>Nautgripir</t>
  </si>
  <si>
    <t>Sauðfé</t>
  </si>
  <si>
    <t>Hestar</t>
  </si>
  <si>
    <t>Önnur losun</t>
  </si>
  <si>
    <t>Urðun úrgangs</t>
  </si>
  <si>
    <t>Jarðgerð</t>
  </si>
  <si>
    <t>Brennsla og opinn bruni</t>
  </si>
  <si>
    <t>Meðhöndlun skólps</t>
  </si>
  <si>
    <t>Mólendi</t>
  </si>
  <si>
    <t>Votlendi</t>
  </si>
  <si>
    <t>Alþjóðaflug</t>
  </si>
  <si>
    <t>Alþjóðasiglingar</t>
  </si>
  <si>
    <t>Kælibúnaður (F-gös)</t>
  </si>
  <si>
    <t>SÖGULEG LOSUN</t>
  </si>
  <si>
    <t>Orka*</t>
  </si>
  <si>
    <t>Iðnaður**</t>
  </si>
  <si>
    <t>JCD 29/2022</t>
  </si>
  <si>
    <t>Eldsneytisbruni, staðbundinn iðnaður</t>
  </si>
  <si>
    <t>Kísil- og kísilmálmframleiðsla</t>
  </si>
  <si>
    <t>Losunarúthlutanir*</t>
  </si>
  <si>
    <t>LANDBÚNAÐUR</t>
  </si>
  <si>
    <t>1. Energykt CO2-eq</t>
  </si>
  <si>
    <t>2. Industrial processes and product usekt CO2-eq</t>
  </si>
  <si>
    <t>3. Agriculturekt CO2-eq</t>
  </si>
  <si>
    <t>4. LULUCFkt CO2-eq</t>
  </si>
  <si>
    <t>5. Wastekt CO2-eq</t>
  </si>
  <si>
    <t>National Total, with LULUCFkt CO2-eq</t>
  </si>
  <si>
    <t xml:space="preserve"> </t>
  </si>
  <si>
    <t>National Total, without LULUCFkt CO2-eq</t>
  </si>
  <si>
    <t>1.A.4.c.iii Agriculture/Forestry/Fishing - Fishing kt CO2-eq</t>
  </si>
  <si>
    <t>1.A.3.b Road transportationkt CO2-eq</t>
  </si>
  <si>
    <t>1.A.3.a Domestic aviationkt CO2-eq</t>
  </si>
  <si>
    <t>1.A.3.dDomestic navigationkt CO2-eq</t>
  </si>
  <si>
    <t>1.A.2.g.vii Off road vehicles and other machinerykt CO2-eq</t>
  </si>
  <si>
    <t>1.B.2.d Geothermal Energykt CO2-eq</t>
  </si>
  <si>
    <t>2.A Mineral Industrykt CO2-eq</t>
  </si>
  <si>
    <t>2.B Chemical Industrykt CO2-eq</t>
  </si>
  <si>
    <t>2.C.3 Aluminium productionkt CO2-eq</t>
  </si>
  <si>
    <t>2.D non-energy products from fuels and solvent usekt CO2-eq</t>
  </si>
  <si>
    <t>2.F Product uses as substitutes for ODSkt CO2-eq</t>
  </si>
  <si>
    <t>2.G Other product manufacture and usekt CO2-eq</t>
  </si>
  <si>
    <t>3.A Enteric fermentationkt CO2-eq</t>
  </si>
  <si>
    <t>3.B Manure managmentkt CO2-eq</t>
  </si>
  <si>
    <t>3.D Agricultural soilskt CO2-eq</t>
  </si>
  <si>
    <t>3.G Limingkt CO2-eq</t>
  </si>
  <si>
    <t>3.A.1 Cattlekt CO2-eq</t>
  </si>
  <si>
    <t>3.B.1.1Cattlekt CO2-eq</t>
  </si>
  <si>
    <t>3.B.2.1Cattlekt CO2-eq</t>
  </si>
  <si>
    <t>3.A.2 Sheepkt CO2-eq</t>
  </si>
  <si>
    <t>3.B.1.2Sheep kt CO2-eq</t>
  </si>
  <si>
    <t>3.B.2.2Sheep kt CO2-eq</t>
  </si>
  <si>
    <t>3.A.4 Other livestock  - Horseskt CO2-eq</t>
  </si>
  <si>
    <t>3.B.1.4Other livestock  - Horseskt CO2-eq</t>
  </si>
  <si>
    <t>3.B.2.4Other livestock  - Horseskt CO2-eq</t>
  </si>
  <si>
    <t>3.D.1.6 Cultivation of organic soils (i.e. histosols)kt CO2-eq</t>
  </si>
  <si>
    <t>5.A Solid waste disposalkt CO2-eq</t>
  </si>
  <si>
    <t>5.B Biological treatment of solid wastekt CO2-eq</t>
  </si>
  <si>
    <t>5.C Incineration and open burning of wastekt CO2-eq</t>
  </si>
  <si>
    <t>5.D Wastewater handlingkt CO2-eq</t>
  </si>
  <si>
    <t>4.A Forest Landkt CO2-eq</t>
  </si>
  <si>
    <t>4.B Croplandkt CO2-eq</t>
  </si>
  <si>
    <t>4.C Grasslandkt CO2-eq</t>
  </si>
  <si>
    <t>4.D Wetlandskt CO2-eq</t>
  </si>
  <si>
    <t>1.D.1.a International Aviationkt CO2-eq</t>
  </si>
  <si>
    <t>1.D.1.b International Navigation kt CO2-eq</t>
  </si>
  <si>
    <t>1.A.3.e.ii Other (please specify) kt CO2-eq</t>
  </si>
  <si>
    <t>1.A.4.c.ii Agriculture/Forestry/Fishing - Off-road vehicles and other machinerykt CO2-eq</t>
  </si>
  <si>
    <t>3.H Urea applicationkt CO2-eq</t>
  </si>
  <si>
    <t>3.I Other carbon-containing fertilizerskt CO2-eq</t>
  </si>
  <si>
    <t>ETS TotalGHGskt CO2eq</t>
  </si>
  <si>
    <t>1A3aiiCO2Gg CO2 eq</t>
  </si>
  <si>
    <t>ETS Energy EmissionsGHGskt CO2eq</t>
  </si>
  <si>
    <t>Mobile Machinery</t>
  </si>
  <si>
    <t>ESD Other</t>
  </si>
  <si>
    <t>JCD2005</t>
  </si>
  <si>
    <t>Skógar</t>
  </si>
  <si>
    <t>LULUCF Annað</t>
  </si>
  <si>
    <t>National Total, without LULUCF OTHER kt CO2-eq</t>
  </si>
  <si>
    <t>1. Energy OTHER kt CO2-eq</t>
  </si>
  <si>
    <t>Fuel combustion in stationary industry kt CO2e</t>
  </si>
  <si>
    <t>2 IPPU OTHER kt CO2e</t>
  </si>
  <si>
    <t>Liming and CO2 from fertilizers kt CO2e</t>
  </si>
  <si>
    <t>Fertilzer use in agriculture kt CO2e</t>
  </si>
  <si>
    <t>Cattle kt CO2e</t>
  </si>
  <si>
    <t>Sheep kt CO2e</t>
  </si>
  <si>
    <t>Horses kt CO2e</t>
  </si>
  <si>
    <t>Agriculture Other kt CO2e</t>
  </si>
  <si>
    <t>MARKMIÐ OG SKULDBINDINGAR</t>
  </si>
  <si>
    <t>LOSUN GRÓÐURHÚSALOFTTEGUNDA INNAN SAMFÉLAGSLOSUNAR</t>
  </si>
  <si>
    <t>LOSUN GRÓÐURHÚSALOFTTEGUNDA Á ÍSLANDI</t>
  </si>
  <si>
    <t>ESR EmissionsGHGskt CO2eq</t>
  </si>
  <si>
    <t xml:space="preserve">   þar af þvagefni</t>
  </si>
  <si>
    <t xml:space="preserve">   þar af kölkun</t>
  </si>
  <si>
    <t xml:space="preserve">   þar af annar áburður sem inniheldur kolefni</t>
  </si>
  <si>
    <t>3.D.1.4 Crop residues kt CO2-eq</t>
  </si>
  <si>
    <t xml:space="preserve">   í byggingariðnaði</t>
  </si>
  <si>
    <t xml:space="preserve">   í landbúnaði</t>
  </si>
  <si>
    <t xml:space="preserve">   Annað</t>
  </si>
  <si>
    <t xml:space="preserve">   þar af iðragerjun</t>
  </si>
  <si>
    <t xml:space="preserve">   þar af metan vegna meðhöndlun húsdýraáburðar</t>
  </si>
  <si>
    <t xml:space="preserve">   þar af glaðloft vegna meðhöndlun húsdýraáburðar</t>
  </si>
  <si>
    <t>Ræktað land</t>
  </si>
  <si>
    <t>Domestic Aviation (CO₂)</t>
  </si>
  <si>
    <t>Energy</t>
  </si>
  <si>
    <t>Industry</t>
  </si>
  <si>
    <t>Agriculture</t>
  </si>
  <si>
    <t>Waste</t>
  </si>
  <si>
    <t>Sá hluti orku sem fellur ekki undir samfélagslosun er losun vegna eldsneytisbruna hjá fyrirtækjum sem eru hluti af viðskiptakerfi ESB og CO2 losun frá innanlandsflugi | Emissions from energy not included under the ESR are emissions from fuel combustion of entities under the ETS and CO2 emissions from domestic aviation</t>
  </si>
  <si>
    <t>Sá hluti iðnaðar sem fellur ekki undir beina ábyrgð stjórnvalda er CO2 og PFC losun fyrirtækja sem eru hluti af viðskiptakerfi ESB | Emissions from industry not included under the ESR are CO2 and PFC emission from entities under the ETS</t>
  </si>
  <si>
    <t>ETS staðbundinn iðnaður</t>
  </si>
  <si>
    <t>Samfélagslosun</t>
  </si>
  <si>
    <t>ESR</t>
  </si>
  <si>
    <t>LULUCF</t>
  </si>
  <si>
    <t>Losun frá innanlandsflugi er að hluta innan ETS | Emissions from domestic aviation are partly included in the ETS</t>
  </si>
  <si>
    <t>Samtals | Total</t>
  </si>
  <si>
    <t>Fishing</t>
  </si>
  <si>
    <t>F-Gases</t>
  </si>
  <si>
    <t>Other</t>
  </si>
  <si>
    <t>Geothermal Energy</t>
  </si>
  <si>
    <t>Off-Road Vehicles and Other Machinery</t>
  </si>
  <si>
    <t>Solid Waste Disposal on Land</t>
  </si>
  <si>
    <t>Liming</t>
  </si>
  <si>
    <t>Urea</t>
  </si>
  <si>
    <t>Other fertilizers with carbon</t>
  </si>
  <si>
    <t>Cattle</t>
  </si>
  <si>
    <t>Sheep</t>
  </si>
  <si>
    <t>Horses</t>
  </si>
  <si>
    <t>Cropland</t>
  </si>
  <si>
    <t>Grassland</t>
  </si>
  <si>
    <t>Wetlands</t>
  </si>
  <si>
    <t>ÚRGANGUR | WASTE</t>
  </si>
  <si>
    <t>Biological Treatment of Solid Waste</t>
  </si>
  <si>
    <t>Incineration and Open Burning</t>
  </si>
  <si>
    <t>Wastewater Treatment and Discharge</t>
  </si>
  <si>
    <t>Aluminium Production</t>
  </si>
  <si>
    <t>Ferrosilicon and Silicon Metal Production</t>
  </si>
  <si>
    <t>Road Transport</t>
  </si>
  <si>
    <t>ETS** staðbundinn iðnaður</t>
  </si>
  <si>
    <t>EMISSION OF GREENHOUSE GASES ACCORDING TO OBLIGATIONS</t>
  </si>
  <si>
    <t>Effort Sharing Regulation</t>
  </si>
  <si>
    <t xml:space="preserve">     According to national inventory</t>
  </si>
  <si>
    <t xml:space="preserve">     According to JCD 29/2022*</t>
  </si>
  <si>
    <t>ETS Stationary Industry**</t>
  </si>
  <si>
    <t>Total</t>
  </si>
  <si>
    <t>* In the EEA's Joint Committee Decision (JCD) n. 29/2022, Iceland's ESR emissions in 2005 were assesed to amount to 3,109,329 kg CO2-eq.</t>
  </si>
  <si>
    <t>** EU Emissions Trading System (ETS), launched in 2005</t>
  </si>
  <si>
    <t>** Emissions from domestic aviation are partly covered under the ETS</t>
  </si>
  <si>
    <t>HISTORICAL EMISSIONS</t>
  </si>
  <si>
    <t>Energy*</t>
  </si>
  <si>
    <t>Industry**</t>
  </si>
  <si>
    <t>*** In the EEA's Joint Committee Decision (JCD) n. 29/2022, Iceland's ESR emissions in 2005 were assesed to amount to 3,109,329 kg CO2-eq.</t>
  </si>
  <si>
    <t>TARGETS AND OBLIGATIONS</t>
  </si>
  <si>
    <t>Road Transportation</t>
  </si>
  <si>
    <t>LAND USE, LAND-USE CHANGE AND FORESTRY (LULUCF)</t>
  </si>
  <si>
    <t>Fuel Combustion, Stationary Industry</t>
  </si>
  <si>
    <t>GREENHOUSE GAS EMISSIONS IN ICELAND</t>
  </si>
  <si>
    <t>Total, incl. LULUCF</t>
  </si>
  <si>
    <t>Total, without LULUCF</t>
  </si>
  <si>
    <t>ENERGY</t>
  </si>
  <si>
    <t>Domestic Aviation</t>
  </si>
  <si>
    <t>Domestic Navigation</t>
  </si>
  <si>
    <t>Fuel Combustion in Stationary Industry</t>
  </si>
  <si>
    <t>INDUSTRY AND PRODUCT USE (IPPU)</t>
  </si>
  <si>
    <t>AGRICULTURE</t>
  </si>
  <si>
    <t>Enteric Fermentation</t>
  </si>
  <si>
    <t>Manure Management</t>
  </si>
  <si>
    <t>Agricultural Soils</t>
  </si>
  <si>
    <t>Fertilizer Use in Agriculture</t>
  </si>
  <si>
    <t>Other Emissions</t>
  </si>
  <si>
    <t>WASTE</t>
  </si>
  <si>
    <t>INTERNATIONAL TRANSPORTATION</t>
  </si>
  <si>
    <t>International Aviation</t>
  </si>
  <si>
    <t>International Navigation</t>
  </si>
  <si>
    <t>LANDBÚNAÐUR | AGRICULTURE</t>
  </si>
  <si>
    <t>ALÞJÓÐASAMGÖNGUR | INTERNATIONAL TRANSPORTATION</t>
  </si>
  <si>
    <t>LOSUN EFTIR SKULDBINGUM | EMISSIONS ACCORDING TO OBLIGATIONS</t>
  </si>
  <si>
    <t xml:space="preserve">SAMFÉLAGSLOSUN | EFFORT SHARING REGULATION (ESR)
</t>
  </si>
  <si>
    <t>LANDNOTKUN | LAND USE, LAND-USE CHANGE AND FORESTRY (LULUCF)</t>
  </si>
  <si>
    <t>LOSUN FRÁ LANDNOTKUN | EMISSIONS FROM LAND USE, LAND USE-CHANGE AND FORESTRY (LULUCF)</t>
  </si>
  <si>
    <t>Almennt ekki talið til heildarlosunar ríkja. Losunin er að hluta innan ETS kerfisins. | Usually not included in total national emissions. Part of these emissions are counted under the ETS.</t>
  </si>
  <si>
    <t xml:space="preserve">   Mineral Products</t>
  </si>
  <si>
    <t xml:space="preserve">   Chemical Industry</t>
  </si>
  <si>
    <t xml:space="preserve">   Non-Energy Products from Fuels and Solvent Use</t>
  </si>
  <si>
    <t>Forest Land</t>
  </si>
  <si>
    <t>Skipt eftir helstu uppsprettum | Main sources</t>
  </si>
  <si>
    <t>GREENHOUSE GAS EMISSIONS UNDER EFFORT SHARING REGULATION (ESR)</t>
  </si>
  <si>
    <t>Iðnaður og vörunotkun</t>
  </si>
  <si>
    <t xml:space="preserve">Samfélagslosun (áður kallað losun á beinni ábyrgð Íslands) er losun sem fellur undir svokallaða beina ábyrgð ríkja samkvæmt ESB reglugerðinni 2018/842 um sameiginlega ábyrgð (e. Effort Sharing Regulation, ESR). </t>
  </si>
  <si>
    <t>Samtals, með landnotkun</t>
  </si>
  <si>
    <t>Samtals, án landnotkunar</t>
  </si>
  <si>
    <t>IÐNAÐUR OG VÖRUNOTKUN</t>
  </si>
  <si>
    <t>Samtals með landnotkun | Total with LULUCF</t>
  </si>
  <si>
    <t>Samtals án landnotkunar | Total without LULUCF</t>
  </si>
  <si>
    <t>—</t>
  </si>
  <si>
    <t>Eldsneytisbruni vegna staðbundins iðnaðar</t>
  </si>
  <si>
    <t>1.D.1 international bunkers kt CO2-eq</t>
  </si>
  <si>
    <t>AEAsProxyCalc41</t>
  </si>
  <si>
    <t>ESR Emissionskt CO2eq</t>
  </si>
  <si>
    <t>1.A.2 Manufacturing Industries and constructionkt CO2-eq</t>
  </si>
  <si>
    <t>Framræst land (N₂O)</t>
  </si>
  <si>
    <t>Annual ESR Emission Allocations*</t>
  </si>
  <si>
    <t>Árlegar losunarheimildir Íslands í samfélagslosun (miðað er við um áætlað nýtt markmið um 41% samdrátt árið 2030 miðað við 2005) | Iceland's annual emission allocations for emissions falling under the scope of the ESR (assuming 41% emission reductions by 2030 compared to 2005).</t>
  </si>
  <si>
    <t>2.C.2 Ferroalloys productionkt CO2-eq</t>
  </si>
  <si>
    <t>2.C.1 Iron and Steel productionkt CO2-eq</t>
  </si>
  <si>
    <t xml:space="preserve">   In Constructions</t>
  </si>
  <si>
    <t xml:space="preserve">   In Agriculture</t>
  </si>
  <si>
    <t xml:space="preserve">   Elsewhere</t>
  </si>
  <si>
    <t xml:space="preserve">   Steinefnaiðnaður</t>
  </si>
  <si>
    <t xml:space="preserve">   Efnaiðnaður</t>
  </si>
  <si>
    <t xml:space="preserve">   Járn- og stálframleiðsla</t>
  </si>
  <si>
    <t xml:space="preserve">   Smurefni og leysiefni</t>
  </si>
  <si>
    <t xml:space="preserve">   of which enteric fermentation</t>
  </si>
  <si>
    <t xml:space="preserve">   of which methane from manure management</t>
  </si>
  <si>
    <t xml:space="preserve">   of which nitrous oxide from manure management</t>
  </si>
  <si>
    <t xml:space="preserve">   Iron and Steel Production</t>
  </si>
  <si>
    <t>Landnotkun</t>
  </si>
  <si>
    <t>Industrial Processes and Product Use</t>
  </si>
  <si>
    <t>Land use, Land-Use Change and Forestry</t>
  </si>
  <si>
    <t>Eftir helstu uppsprettum | By  main sources</t>
  </si>
  <si>
    <t>Þús. tonn CO₂-íg. | kt CO₂e</t>
  </si>
  <si>
    <r>
      <t xml:space="preserve">ORKA </t>
    </r>
    <r>
      <rPr>
        <sz val="20"/>
        <color theme="0"/>
        <rFont val="Segoe UI"/>
        <family val="2"/>
      </rPr>
      <t>| ENERGY</t>
    </r>
  </si>
  <si>
    <r>
      <t xml:space="preserve">IÐNAÐUR OG VÖRUNOTKUN </t>
    </r>
    <r>
      <rPr>
        <sz val="20"/>
        <rFont val="Segoe UI"/>
        <family val="2"/>
      </rPr>
      <t>| INDUSTRY AND PRODUCT USE</t>
    </r>
  </si>
  <si>
    <r>
      <t xml:space="preserve">LANDBÚNAÐUR </t>
    </r>
    <r>
      <rPr>
        <sz val="20"/>
        <color theme="0"/>
        <rFont val="Segoe UI"/>
        <family val="2"/>
      </rPr>
      <t>| AGRICULTURE</t>
    </r>
  </si>
  <si>
    <r>
      <t>Kölkun og 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-losun frá áburði</t>
    </r>
  </si>
  <si>
    <t>Liming and CO₂-Emissions from Fertilizers</t>
  </si>
  <si>
    <r>
      <t>Cultivation of Organic Soils (N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O)</t>
    </r>
  </si>
  <si>
    <r>
      <t>Innanlandsflug (CO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)</t>
    </r>
  </si>
  <si>
    <t>1.A.2 Manufacturing Industries and combustionkt CO2-eq</t>
  </si>
  <si>
    <t>1.D memo items (do not count towards national totals)kt CO2-eq</t>
  </si>
  <si>
    <t>LANDNOTKUN</t>
  </si>
  <si>
    <r>
      <t>Domestic aviation (CO₂</t>
    </r>
    <r>
      <rPr>
        <sz val="8.8000000000000007"/>
        <color theme="1"/>
        <rFont val="Segoe UI"/>
        <family val="2"/>
      </rPr>
      <t>)</t>
    </r>
    <r>
      <rPr>
        <sz val="11"/>
        <color theme="1"/>
        <rFont val="Segoe UI"/>
        <family val="2"/>
      </rPr>
      <t>***</t>
    </r>
  </si>
  <si>
    <r>
      <t>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</si>
  <si>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>*** Um er að ræða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losun vegna alls innanlandsflugs á Íslandi. Losun frá innanlandsflugi er að hluta innan ETS og að hluta ekki.</t>
    </r>
  </si>
  <si>
    <r>
      <t xml:space="preserve">Total
</t>
    </r>
    <r>
      <rPr>
        <sz val="8"/>
        <rFont val="Segoe UI"/>
        <family val="2"/>
      </rPr>
      <t>- According to national inventory</t>
    </r>
  </si>
  <si>
    <r>
      <t xml:space="preserve">Total
</t>
    </r>
    <r>
      <rPr>
        <sz val="8"/>
        <color theme="1"/>
        <rFont val="Segoe UI"/>
        <family val="2"/>
      </rPr>
      <t>- According to JCD 29/2022***</t>
    </r>
  </si>
  <si>
    <r>
      <t>* With the exception of fuel combustion of entities under the ETS and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emissions from domestic aviation</t>
    </r>
  </si>
  <si>
    <r>
      <t>** With the exception of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and PFC emissions from entities under the ETS</t>
    </r>
  </si>
  <si>
    <r>
      <t xml:space="preserve">Total*
</t>
    </r>
    <r>
      <rPr>
        <sz val="8"/>
        <color theme="1"/>
        <rFont val="Segoe UI"/>
        <family val="2"/>
      </rPr>
      <t>- According to JCD 29/2022</t>
    </r>
  </si>
  <si>
    <r>
      <t>* Í ákvörðun sameiginlegu EES-nefndar nr. 29/2022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</si>
  <si>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t>ETS Stationary Industries</t>
  </si>
  <si>
    <t>─</t>
  </si>
  <si>
    <t>Áður kallað losun á beinni ábyrgð Íslands</t>
  </si>
  <si>
    <r>
      <t>HEILDARLOSUN ÁN LANDNOTKUNAR</t>
    </r>
    <r>
      <rPr>
        <sz val="20"/>
        <color theme="0"/>
        <rFont val="Segoe UI"/>
        <family val="2"/>
      </rPr>
      <t xml:space="preserve"> | TOTAL EMISSIONS EXCL. LULUCF</t>
    </r>
  </si>
  <si>
    <t>Sviðsmynd með núgildandi aðgerðum</t>
  </si>
  <si>
    <t>FRAMREIKNUÐ LOSUN</t>
  </si>
  <si>
    <t>1. Energykt CO2-eq WEM</t>
  </si>
  <si>
    <t>2. Industrial processes and product usekt CO2-eq WEM</t>
  </si>
  <si>
    <t>3. Agriculturekt CO2-eq WEM</t>
  </si>
  <si>
    <t>4. LULUCFkt CO2-eq WEM</t>
  </si>
  <si>
    <t>5. Wastekt CO2-eq WEM</t>
  </si>
  <si>
    <t>National Total, with LULUCFkt CO2-eq WEM</t>
  </si>
  <si>
    <t>National Total, without LULUCFkt CO2-eq WEM</t>
  </si>
  <si>
    <t>1. Energykt CO2-eq WAM</t>
  </si>
  <si>
    <t>2. Industrial processes and product usekt CO2-eq WAM</t>
  </si>
  <si>
    <t>3. Agriculturekt CO2-eq WAM</t>
  </si>
  <si>
    <t>4. LULUCFkt CO2-eq WAM</t>
  </si>
  <si>
    <t>5. Wastekt CO2-eq WAM</t>
  </si>
  <si>
    <t>National Total, with LULUCFkt CO2-eq WAM</t>
  </si>
  <si>
    <t>National Total, without LULUCFkt CO2-eq WAM</t>
  </si>
  <si>
    <t>1.A.4.c.iii Agriculture/Forestry/Fishing - Fishing kt CO2-eq WEM</t>
  </si>
  <si>
    <t>1.A.3.b Road transportationkt CO2-eq WEM</t>
  </si>
  <si>
    <t>1.B.2.d Geothermal Energykt CO2-eq WEM</t>
  </si>
  <si>
    <t>2.C.3 Aluminium productionkt CO2-eq WEM</t>
  </si>
  <si>
    <t>2.C.2 Ferroalloys productionkt CO2-eq WEM</t>
  </si>
  <si>
    <t>National Total, without LULUCF OTHER kt CO2-eq WEM</t>
  </si>
  <si>
    <t>1.A.4.c.iii Agriculture/Forestry/Fishing - Fishing kt CO2-eq WAM</t>
  </si>
  <si>
    <t>1.A.3.b Road transportationkt CO2-eq WAM</t>
  </si>
  <si>
    <t>1.B.2.d Geothermal Energykt CO2-eq WAM</t>
  </si>
  <si>
    <t>2.C.3 Aluminium productionkt CO2-eq WAM</t>
  </si>
  <si>
    <t>2.C.2 Ferroalloys productionkt CO2-eq WAM</t>
  </si>
  <si>
    <t>National Total, without LULUCF OTHER kt CO2-eq WAM</t>
  </si>
  <si>
    <t>1.A.3.a Domestic aviationkt CO2-eq WEM</t>
  </si>
  <si>
    <t>1.A.3.dDomestic navigationkt CO2-eq WEM</t>
  </si>
  <si>
    <t>Mobile Machinery WEM</t>
  </si>
  <si>
    <t>Fuel combustion in stationary industry kt CO2e WEM</t>
  </si>
  <si>
    <t>1. Energy OTHER kt CO2-eq WEM</t>
  </si>
  <si>
    <t>1.A.3.a Domestic aviationkt CO2-eq WAM</t>
  </si>
  <si>
    <t>1.A.3.dDomestic navigationkt CO2-eq WAM</t>
  </si>
  <si>
    <t>Mobile Machinery WAM</t>
  </si>
  <si>
    <t>Fuel combustion in stationary industry kt CO2e WAM</t>
  </si>
  <si>
    <t>1. Energy OTHER kt CO2-eq WAM</t>
  </si>
  <si>
    <t>2.F Product uses as substitutes for ODSkt CO2-eq WEM</t>
  </si>
  <si>
    <t>2 IPPU OTHER kt CO2e WEM</t>
  </si>
  <si>
    <t>2.F Product uses as substitutes for ODSkt CO2-eq WAM</t>
  </si>
  <si>
    <t>2 IPPU OTHER kt CO2e WAM</t>
  </si>
  <si>
    <t>3.A Enteric fermentationkt CO2-eq WEM</t>
  </si>
  <si>
    <t>3.B Manure managmentkt CO2-eq WEM</t>
  </si>
  <si>
    <t>3.D Agricultural soilskt CO2-eq WEM</t>
  </si>
  <si>
    <t>Liming and CO2 from fertilizers kt CO2e WEM</t>
  </si>
  <si>
    <t>3.A Enteric fermentationkt CO2-eq WAM</t>
  </si>
  <si>
    <t>3.B Manure managmentkt CO2-eq WAM</t>
  </si>
  <si>
    <t>3.D Agricultural soilskt CO2-eq WAM</t>
  </si>
  <si>
    <t>Liming and CO2 from fertilizers kt CO2e WAM</t>
  </si>
  <si>
    <t>Fertilzer use in agriculture kt CO2e WEM</t>
  </si>
  <si>
    <t>Cattle kt CO2e WEM</t>
  </si>
  <si>
    <t>Sheep kt CO2e WEM</t>
  </si>
  <si>
    <t>Horses kt CO2e WEM</t>
  </si>
  <si>
    <t>3.D.1.6 Cultivation of organic soils (i.e. histosols)kt CO2-eq WEM</t>
  </si>
  <si>
    <t>Agriculture Other kt CO2e WEM</t>
  </si>
  <si>
    <t>Fertilzer use in agriculture kt CO2e WAM</t>
  </si>
  <si>
    <t>Cattle kt CO2e WAM</t>
  </si>
  <si>
    <t>Sheep kt CO2e WAM</t>
  </si>
  <si>
    <t>Horses kt CO2e WAM</t>
  </si>
  <si>
    <t>3.D.1.6 Cultivation of organic soils (i.e. histosols)kt CO2-eq WAM</t>
  </si>
  <si>
    <t>Agriculture Other kt CO2e WAM</t>
  </si>
  <si>
    <t>4.A Forest Landkt CO2-eq WEM</t>
  </si>
  <si>
    <t>4.B Croplandkt CO2-eq WEM</t>
  </si>
  <si>
    <t>4.C Grasslandkt CO2-eq WEM</t>
  </si>
  <si>
    <t>4.D Wetlandskt CO2-eq WEM</t>
  </si>
  <si>
    <t>LULUCF Annað WEM</t>
  </si>
  <si>
    <t>4.A Forest Landkt CO2-eq WAM</t>
  </si>
  <si>
    <t>4.B Croplandkt CO2-eq WAM</t>
  </si>
  <si>
    <t>4.C Grasslandkt CO2-eq WAM</t>
  </si>
  <si>
    <t>4.D Wetlandskt CO2-eq WAM</t>
  </si>
  <si>
    <t>LULUCF Annað WAM</t>
  </si>
  <si>
    <t>5.A Solid waste disposalkt CO2-eq WEM</t>
  </si>
  <si>
    <t>5.B Biological treatment of solid wastekt CO2-eq WEM</t>
  </si>
  <si>
    <t>5.C Incineration and open burning of wastekt CO2-eq WEM</t>
  </si>
  <si>
    <t>5.D Wastewater handlingkt CO2-eq WEM</t>
  </si>
  <si>
    <t>5.A Solid waste disposalkt CO2-eq WAM</t>
  </si>
  <si>
    <t>5.B Biological treatment of solid wastekt CO2-eq WAM</t>
  </si>
  <si>
    <t>5.C Incineration and open burning of wastekt CO2-eq WAM</t>
  </si>
  <si>
    <t>5.D Wastewater handlingkt CO2-eq WAM</t>
  </si>
  <si>
    <t>1.D.1.a International Aviationkt CO2-eq WEM</t>
  </si>
  <si>
    <t>1.D.1.b International Navigation kt CO2-eq WEM</t>
  </si>
  <si>
    <t>1.D memo items (do not count towards national totals)kt CO2-eq WEM</t>
  </si>
  <si>
    <t>1.D.1.a International Aviationkt CO2-eq WAM</t>
  </si>
  <si>
    <t>1.D.1.b International Navigation kt CO2-eq WAM</t>
  </si>
  <si>
    <t>1.D memo items (do not count towards national totals)kt CO2-eq WAM</t>
  </si>
  <si>
    <t>EMISSION PROJECTIONS</t>
  </si>
  <si>
    <t>Total - fisk - veg - jarð</t>
  </si>
  <si>
    <t>EKKI HENDA</t>
  </si>
  <si>
    <t>ESR WAM kt CO2-eq</t>
  </si>
  <si>
    <t>ESR WEM</t>
  </si>
  <si>
    <t>Innanlandsflug (CO₂)***</t>
  </si>
  <si>
    <t>ESR Historical</t>
  </si>
  <si>
    <t>ESR WAM</t>
  </si>
  <si>
    <t>ETS Historical</t>
  </si>
  <si>
    <t>DomAvi Historical</t>
  </si>
  <si>
    <t>LULUCF Historical</t>
  </si>
  <si>
    <t>NatTot_W_LULUCF Historical</t>
  </si>
  <si>
    <t>ETS WEM</t>
  </si>
  <si>
    <t>DomAvi WEM</t>
  </si>
  <si>
    <t>LULUCF WEM</t>
  </si>
  <si>
    <t>NatTot_W_LULUCF WEM</t>
  </si>
  <si>
    <t>NatTot_WO_LULUCF Historical</t>
  </si>
  <si>
    <t>NatTot_WO_LULUCF WEM</t>
  </si>
  <si>
    <t>NatTot_W_LULUCF WAM</t>
  </si>
  <si>
    <t>DomAvi WAM</t>
  </si>
  <si>
    <t>ESR Energy Historical</t>
  </si>
  <si>
    <t>ESR IPPU Historical</t>
  </si>
  <si>
    <t>ESR Agri Historical</t>
  </si>
  <si>
    <t>ESR Waste Historical</t>
  </si>
  <si>
    <t>ESR Energy WEM</t>
  </si>
  <si>
    <t>ESR IPPU WEM</t>
  </si>
  <si>
    <t>ESR Agri WEM</t>
  </si>
  <si>
    <t>ESR Waste WEM</t>
  </si>
  <si>
    <t>ESR Energy WAM</t>
  </si>
  <si>
    <t>ESR IPPU WAM.</t>
  </si>
  <si>
    <t>ESR Agri WAM</t>
  </si>
  <si>
    <t>ESR Waste WAM</t>
  </si>
  <si>
    <t>ESD Other WEM</t>
  </si>
  <si>
    <t>ESD Other WAM</t>
  </si>
  <si>
    <t>ETS Energy EmissionsGHGskt CO2eq WEM</t>
  </si>
  <si>
    <t>ETS TotalGHGskt CO2eq WEM</t>
  </si>
  <si>
    <t>Tot-Vega-Land-Urð</t>
  </si>
  <si>
    <t>LOSUN GRÓÐURHÚSALOFTTEGUNDA FRÁ LANDNOTKUN</t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</si>
  <si>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</si>
  <si>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t>Peter Höller,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</si>
  <si>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rPr>
        <b/>
        <sz val="11"/>
        <color theme="1"/>
        <rFont val="Segoe UI"/>
        <family val="2"/>
        <scheme val="minor"/>
      </rPr>
      <t>Losunartölur byggðar á hnatthlýnunarmætti úr fimmtu matsskýrslu (AR5) milliríkjanefndar um loftslagsbreyingar (IPCC).</t>
    </r>
    <r>
      <rPr>
        <sz val="11"/>
        <color theme="1"/>
        <rFont val="Segoe UI"/>
        <family val="2"/>
        <scheme val="minor"/>
      </rPr>
      <t xml:space="preserve">
Greenhouse gas emissions inventory based on potency from the Intergovernmental Panel on Climate Change's (IPCC) 5th Assessment Report (AR5).</t>
    </r>
  </si>
  <si>
    <r>
      <rPr>
        <b/>
        <sz val="11"/>
        <color theme="1"/>
        <rFont val="Segoe UI"/>
        <family val="2"/>
        <scheme val="minor"/>
      </rPr>
      <t>Losunartölurnar í skjalinu miða við ofangreinda dagsetningu. Losunarbókhald Íslands er í stöðugri endurskoðun og því geta losunartölurnar tekið breytingum.</t>
    </r>
    <r>
      <rPr>
        <sz val="11"/>
        <color theme="1"/>
        <rFont val="Segoe UI"/>
        <family val="2"/>
        <scheme val="minor"/>
      </rPr>
      <t xml:space="preserve">
The numbers in this document were last updated on the above date. Iceland's greenhouse gas inventory is under constant review and, as a result, the numbers can change from time to time.</t>
    </r>
  </si>
  <si>
    <r>
      <rPr>
        <b/>
        <sz val="11"/>
        <color theme="0"/>
        <rFont val="Segoe UI"/>
        <family val="2"/>
        <scheme val="minor"/>
      </rPr>
      <t>Skjal búið til af</t>
    </r>
    <r>
      <rPr>
        <sz val="11"/>
        <color theme="0"/>
        <rFont val="Segoe UI"/>
        <family val="2"/>
        <scheme val="minor"/>
      </rPr>
      <t xml:space="preserve">
Created by</t>
    </r>
  </si>
  <si>
    <r>
      <rPr>
        <b/>
        <sz val="11"/>
        <color theme="0"/>
        <rFont val="Segoe UI"/>
        <family val="2"/>
        <scheme val="minor"/>
      </rPr>
      <t>Uppfært af</t>
    </r>
    <r>
      <rPr>
        <sz val="11"/>
        <color theme="0"/>
        <rFont val="Segoe UI"/>
        <family val="2"/>
        <scheme val="minor"/>
      </rPr>
      <t xml:space="preserve">
Updated by</t>
    </r>
  </si>
  <si>
    <r>
      <rPr>
        <b/>
        <sz val="11"/>
        <color theme="0"/>
        <rFont val="Segoe UI"/>
        <family val="2"/>
        <scheme val="minor"/>
      </rPr>
      <t>Yfirfarið af</t>
    </r>
    <r>
      <rPr>
        <sz val="11"/>
        <color theme="0"/>
        <rFont val="Segoe UI"/>
        <family val="2"/>
        <scheme val="minor"/>
      </rPr>
      <t xml:space="preserve">
QC-ed by</t>
    </r>
  </si>
  <si>
    <r>
      <rPr>
        <b/>
        <sz val="11"/>
        <color theme="0"/>
        <rFont val="Segoe UI"/>
        <family val="2"/>
        <scheme val="minor"/>
      </rPr>
      <t>Gögn byggð á</t>
    </r>
    <r>
      <rPr>
        <sz val="11"/>
        <color theme="0"/>
        <rFont val="Segoe UI"/>
        <family val="2"/>
        <scheme val="minor"/>
      </rPr>
      <t xml:space="preserve">
Data based on</t>
    </r>
  </si>
  <si>
    <r>
      <t>Í ákvörðun sameiginlegu EES-nefndar nr. 29/2022 (JCD) var samfélagslosun Íslands (losun undir beina ábyrgð Íslands) árið 2005 metin 3109329 kg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In the EEA's Joint Committee Decision (JCD) n. 29/2022, Iceland's ESR emissions in 2005 were assesed to ammount to 3109329 kg CO2e.</t>
    </r>
  </si>
  <si>
    <t>Söguleg losun</t>
  </si>
  <si>
    <t>Historical Emissions</t>
  </si>
  <si>
    <t xml:space="preserve">     Samkvæmt JCD 29/2022*</t>
  </si>
  <si>
    <t>LOSUN GRÓÐURHÚSALOFTTEGUNDA Á ÍSLANDI EFTIR SKULDBINDINGUM</t>
  </si>
  <si>
    <r>
      <t>Þús. tonn CO</t>
    </r>
    <r>
      <rPr>
        <vertAlign val="subscript"/>
        <sz val="10"/>
        <color rgb="FF00827F"/>
        <rFont val="Aptos Narrow"/>
        <family val="2"/>
      </rPr>
      <t>₂</t>
    </r>
    <r>
      <rPr>
        <sz val="10"/>
        <color rgb="FF00827F"/>
        <rFont val="Segoe UI"/>
        <family val="2"/>
      </rPr>
      <t>-íg.</t>
    </r>
  </si>
  <si>
    <t>OUTLOOKS</t>
  </si>
  <si>
    <t>FRAMTÍÐAR-HORFUR</t>
  </si>
  <si>
    <r>
      <t xml:space="preserve">Samtals
</t>
    </r>
    <r>
      <rPr>
        <sz val="8"/>
        <color rgb="FF3C7290"/>
        <rFont val="Segoe UI"/>
        <family val="2"/>
      </rPr>
      <t>- Miðað við losunarbókhald</t>
    </r>
  </si>
  <si>
    <r>
      <t xml:space="preserve">Samtals
</t>
    </r>
    <r>
      <rPr>
        <sz val="8"/>
        <color rgb="FF3C7290"/>
        <rFont val="Segoe UI"/>
        <family val="2"/>
      </rPr>
      <t>- Miðað við JCD 29/2022***</t>
    </r>
  </si>
  <si>
    <r>
      <t>* Undanskilin losun vegna eldsneytisbruna hjá fyrirtækjum sem eru hluti af viðskiptakerfi ESB og losun á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 xml:space="preserve"> frá innanlandsflugi</t>
    </r>
  </si>
  <si>
    <r>
      <t>** Undanskilin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 xml:space="preserve"> og PFC losun hjá fyrirtækjum sem eru hluti af viðskiptakerfi ESB með losunarheimildir (ETS)</t>
    </r>
  </si>
  <si>
    <r>
      <t>*** Í ákvörðun sameiginlegu EES-nefndar nr. 29/2022 (JCD) var losun undir beina ábyrgð Íslands árið 2005 metin 3.109.329 kg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>-íg.</t>
    </r>
  </si>
  <si>
    <r>
      <t xml:space="preserve">Samtals*
</t>
    </r>
    <r>
      <rPr>
        <sz val="8"/>
        <color rgb="FF3C7290"/>
        <rFont val="Segoe UI"/>
        <family val="2"/>
      </rPr>
      <t>- Miðað við JCD 29/2022</t>
    </r>
  </si>
  <si>
    <t>Estimated change in emissions between 2005 and 2030</t>
  </si>
  <si>
    <r>
      <t>Thousand tons CO</t>
    </r>
    <r>
      <rPr>
        <vertAlign val="subscript"/>
        <sz val="8"/>
        <color theme="2"/>
        <rFont val="Aptos Narrow"/>
        <family val="2"/>
      </rPr>
      <t>₂</t>
    </r>
    <r>
      <rPr>
        <sz val="8"/>
        <color theme="2"/>
        <rFont val="Segoe UI"/>
        <family val="2"/>
      </rPr>
      <t>e</t>
    </r>
  </si>
  <si>
    <t>Áætluð breyting í losun milli 2005 og 2030</t>
  </si>
  <si>
    <t>LOSUN GRÓÐURHÚSALOFTTEGUNDA FRÁ STAÐBUNDUM IÐNAÐI UNDIR ETS KERFI</t>
  </si>
  <si>
    <t>GREENHOUSE GAS EMISSIONS FROM STATIONARY INDUSTRY UNDER THE ETS</t>
  </si>
  <si>
    <t>LOSUN FRÁ STAÐBUNDUM IÐNAÐI UNDIR ETS KERFI | EMISSION FROM STATIONARY INDUSTRY UNDER THE ETS</t>
  </si>
  <si>
    <t>Áætluð breyting í losun út frá
sviðsmynd með núgildandi aðgerðum</t>
  </si>
  <si>
    <t>Milli 2005 og 2030</t>
  </si>
  <si>
    <t>Milli 1990 og 2055</t>
  </si>
  <si>
    <t>Land Use, Land-Use Change and Forestry</t>
  </si>
  <si>
    <t>Emissions in 2023</t>
  </si>
  <si>
    <t>Change from 2022</t>
  </si>
  <si>
    <t>Change from 2005</t>
  </si>
  <si>
    <t>Change from 1990</t>
  </si>
  <si>
    <t>Estimated change in emissions based on
With Existing Measures scenario</t>
  </si>
  <si>
    <t>Estimated change in emissions based on
With Addiotional Measures scenario</t>
  </si>
  <si>
    <t>2030 compared to 2005</t>
  </si>
  <si>
    <t>2055 compared to 1990</t>
  </si>
  <si>
    <r>
      <t>Þús. tonn CO</t>
    </r>
    <r>
      <rPr>
        <vertAlign val="subscript"/>
        <sz val="10"/>
        <color rgb="FF008AAC"/>
        <rFont val="Aptos Narrow"/>
        <family val="2"/>
      </rPr>
      <t>₂</t>
    </r>
    <r>
      <rPr>
        <sz val="10"/>
        <color rgb="FF008AAC"/>
        <rFont val="Segoe UI"/>
        <family val="2"/>
      </rPr>
      <t>-íg.</t>
    </r>
  </si>
  <si>
    <r>
      <t>Þús. tonn CO</t>
    </r>
    <r>
      <rPr>
        <vertAlign val="subscript"/>
        <sz val="10"/>
        <color rgb="FF7A5C00"/>
        <rFont val="Aptos Narrow"/>
        <family val="2"/>
      </rPr>
      <t>₂</t>
    </r>
    <r>
      <rPr>
        <sz val="10"/>
        <color rgb="FF7A5C00"/>
        <rFont val="Segoe UI"/>
        <family val="2"/>
      </rPr>
      <t>-íg.</t>
    </r>
  </si>
  <si>
    <r>
      <t>Þús. tonn CO</t>
    </r>
    <r>
      <rPr>
        <vertAlign val="subscript"/>
        <sz val="10"/>
        <color rgb="FF855092"/>
        <rFont val="Aptos Narrow"/>
        <family val="2"/>
      </rPr>
      <t>₂</t>
    </r>
    <r>
      <rPr>
        <sz val="10"/>
        <color rgb="FF855092"/>
        <rFont val="Segoe UI"/>
        <family val="2"/>
      </rPr>
      <t>-íg.</t>
    </r>
  </si>
  <si>
    <r>
      <t>Þús. tonn CO</t>
    </r>
    <r>
      <rPr>
        <vertAlign val="subscript"/>
        <sz val="10"/>
        <color rgb="FF68A200"/>
        <rFont val="Aptos Narrow"/>
        <family val="2"/>
      </rPr>
      <t>₂</t>
    </r>
    <r>
      <rPr>
        <sz val="10"/>
        <color rgb="FF68A200"/>
        <rFont val="Segoe UI"/>
        <family val="2"/>
      </rPr>
      <t>-íg.</t>
    </r>
  </si>
  <si>
    <r>
      <t>Þús. tonn CO</t>
    </r>
    <r>
      <rPr>
        <vertAlign val="subscript"/>
        <sz val="10"/>
        <color rgb="FFED7D31"/>
        <rFont val="Aptos Narrow"/>
        <family val="2"/>
      </rPr>
      <t>₂</t>
    </r>
    <r>
      <rPr>
        <sz val="10"/>
        <color rgb="FFED7D31"/>
        <rFont val="Segoe UI"/>
        <family val="2"/>
      </rPr>
      <t>-íg.</t>
    </r>
  </si>
  <si>
    <r>
      <t>Þús. tonn CO</t>
    </r>
    <r>
      <rPr>
        <vertAlign val="subscript"/>
        <sz val="10"/>
        <color theme="0" tint="-0.499984740745262"/>
        <rFont val="Aptos Narrow"/>
        <family val="2"/>
      </rPr>
      <t>₂</t>
    </r>
    <r>
      <rPr>
        <sz val="10"/>
        <color theme="0" tint="-0.499984740745262"/>
        <rFont val="Segoe UI"/>
        <family val="2"/>
      </rPr>
      <t>-íg.</t>
    </r>
  </si>
  <si>
    <t xml:space="preserve">   Other Product Use</t>
  </si>
  <si>
    <t xml:space="preserve">   Önnur vörunotkun</t>
  </si>
  <si>
    <t>2C2Emissions (ETS)kt CO2eq</t>
  </si>
  <si>
    <t>2C3Emissions (ETS)kt CO2eq</t>
  </si>
  <si>
    <t xml:space="preserve">     Samkvæmt losunarbókhaldi</t>
  </si>
  <si>
    <t>ETS Stationary Industries**</t>
  </si>
  <si>
    <t>** Viðskiptakerfi ESB með losunarheimildir (ETS), kom á fót 2005.</t>
  </si>
  <si>
    <t>Skipt eftir yfirflokkum IPCC</t>
  </si>
  <si>
    <t>By IPCC sectors</t>
  </si>
  <si>
    <t>TOTAL EMISSIONS</t>
  </si>
  <si>
    <t>HEILDARLOSUN</t>
  </si>
  <si>
    <t>Framreiknuð losun: Sviðsmynd með núgildandi aðgerðum</t>
  </si>
  <si>
    <t>Emission Projections: With Existing Measures (WEM) Scenario</t>
  </si>
  <si>
    <t>2C2Emissions (ETS)kt CO2eq WEM</t>
  </si>
  <si>
    <t>2C3Emissions (ETS)kt CO2eq WEM</t>
  </si>
  <si>
    <t>Scenario: 
With Existing Measures</t>
  </si>
  <si>
    <t>ALÞJÓÐASAMGÖNGUR</t>
  </si>
  <si>
    <r>
      <t>ESR emissions (</t>
    </r>
    <r>
      <rPr>
        <i/>
        <sz val="14"/>
        <color theme="0"/>
        <rFont val="Segoe UI"/>
        <family val="2"/>
      </rPr>
      <t>ísl. samfélagslosun</t>
    </r>
    <r>
      <rPr>
        <sz val="14"/>
        <color theme="0"/>
        <rFont val="Segoe UI"/>
        <family val="2"/>
      </rPr>
      <t xml:space="preserve">) refer to the greenhouse gas emissions that fall under the scope of Regulation (EU) 2018/842 (Effort Sharing Regulation, ESR). 
</t>
    </r>
  </si>
  <si>
    <t>EMISSION PROJECTIONS: SCENARIO WITH EXISTING MEASURES</t>
  </si>
  <si>
    <t>FRAMREIKNUÐ LOSUN (SVIÐSMYND MEÐ NÚGILDANDI AÐGERÐUM)</t>
  </si>
  <si>
    <t>EMISSION PROJECTIONS (WITH EXISTING MEASURES SCENARIO)</t>
  </si>
  <si>
    <t>FRAMREIKNUÐ LOSUN: SVIÐSMYND MEÐ NÚGILDANDI AÐGERÐUM</t>
  </si>
  <si>
    <r>
      <t xml:space="preserve">LOSUN ÍSLANDS </t>
    </r>
    <r>
      <rPr>
        <b/>
        <sz val="16"/>
        <color theme="3"/>
        <rFont val="Segoe UI"/>
        <family val="2"/>
      </rPr>
      <t>MEÐ</t>
    </r>
    <r>
      <rPr>
        <b/>
        <sz val="16"/>
        <color theme="2"/>
        <rFont val="Segoe UI"/>
        <family val="2"/>
      </rPr>
      <t xml:space="preserve"> LOSUN FRÁ LANDNOTKUN</t>
    </r>
  </si>
  <si>
    <r>
      <t xml:space="preserve">LOSUN ÍSLANDS </t>
    </r>
    <r>
      <rPr>
        <b/>
        <sz val="16"/>
        <color theme="3"/>
        <rFont val="Segoe UI"/>
        <family val="2"/>
      </rPr>
      <t>ÁN</t>
    </r>
    <r>
      <rPr>
        <b/>
        <sz val="16"/>
        <color theme="2"/>
        <rFont val="Segoe UI"/>
        <family val="2"/>
      </rPr>
      <t xml:space="preserve"> LOSUNAR FRÁ LANDNOTKUN</t>
    </r>
  </si>
  <si>
    <r>
      <t xml:space="preserve">SAMFÉLAGSLOSUN EFTIR </t>
    </r>
    <r>
      <rPr>
        <b/>
        <sz val="16"/>
        <color theme="3"/>
        <rFont val="Segoe UI"/>
        <family val="2"/>
      </rPr>
      <t>IPCC</t>
    </r>
    <r>
      <rPr>
        <b/>
        <sz val="16"/>
        <color rgb="FF338DE9"/>
        <rFont val="Segoe UI"/>
        <family val="2"/>
      </rPr>
      <t xml:space="preserve"> YFIRFLOKKUM</t>
    </r>
  </si>
  <si>
    <r>
      <t xml:space="preserve">SAMFÉLAGSLOSUN EFTIR </t>
    </r>
    <r>
      <rPr>
        <b/>
        <sz val="16"/>
        <color theme="3"/>
        <rFont val="Segoe UI"/>
        <family val="2"/>
      </rPr>
      <t>HELSTU UPPSPRETTUM</t>
    </r>
  </si>
  <si>
    <r>
      <t xml:space="preserve">ESR EMISSIONS BY </t>
    </r>
    <r>
      <rPr>
        <b/>
        <sz val="16"/>
        <color theme="3"/>
        <rFont val="Segoe UI"/>
        <family val="2"/>
      </rPr>
      <t>IPCC</t>
    </r>
    <r>
      <rPr>
        <b/>
        <sz val="16"/>
        <color rgb="FF338DE9"/>
        <rFont val="Segoe UI"/>
        <family val="2"/>
      </rPr>
      <t xml:space="preserve"> SECTORS</t>
    </r>
  </si>
  <si>
    <r>
      <t xml:space="preserve">ESR EMISSIONS BY </t>
    </r>
    <r>
      <rPr>
        <b/>
        <sz val="16"/>
        <color theme="3"/>
        <rFont val="Segoe UI"/>
        <family val="2"/>
      </rPr>
      <t>MAIN SOURCES</t>
    </r>
  </si>
  <si>
    <t>SKIPT EFTIR IPCC YFIRFLOKKUM</t>
  </si>
  <si>
    <t>BY IPCC SECTORS</t>
  </si>
  <si>
    <r>
      <t xml:space="preserve">ICELAND'S EMISSIONS </t>
    </r>
    <r>
      <rPr>
        <b/>
        <sz val="16"/>
        <color theme="3"/>
        <rFont val="Segoe UI"/>
        <family val="2"/>
      </rPr>
      <t>INCLUDING</t>
    </r>
    <r>
      <rPr>
        <b/>
        <sz val="16"/>
        <color theme="2"/>
        <rFont val="Segoe UI"/>
        <family val="2"/>
      </rPr>
      <t xml:space="preserve"> LULUCF</t>
    </r>
  </si>
  <si>
    <r>
      <t xml:space="preserve">ICELAND'S EMISSIONS </t>
    </r>
    <r>
      <rPr>
        <b/>
        <sz val="16"/>
        <color theme="3"/>
        <rFont val="Segoe UI"/>
        <family val="2"/>
      </rPr>
      <t>EXCLUDING</t>
    </r>
    <r>
      <rPr>
        <b/>
        <sz val="16"/>
        <color theme="2"/>
        <rFont val="Segoe UI"/>
        <family val="2"/>
      </rPr>
      <t xml:space="preserve"> LULUCF</t>
    </r>
  </si>
  <si>
    <t>SKIPT EFTIR HELSTU UPPSPRETTUM</t>
  </si>
  <si>
    <t>GREENHOUSE GAS EMISSIONS IN ICELAND (EXCL. LULUCF)</t>
  </si>
  <si>
    <t>BY MAIN SOURCES</t>
  </si>
  <si>
    <t>LOSUN GRÓÐURHÚSALOFTTEGUNDA Á ÍSLANDI (ÁN LANDNOTKUNAR)</t>
  </si>
  <si>
    <r>
      <t xml:space="preserve">HEFÐBUNDIN </t>
    </r>
    <r>
      <rPr>
        <b/>
        <sz val="16"/>
        <color theme="9"/>
        <rFont val="Segoe UI"/>
        <family val="2"/>
      </rPr>
      <t>IPCC</t>
    </r>
    <r>
      <rPr>
        <b/>
        <sz val="16"/>
        <color rgb="FF855092"/>
        <rFont val="Segoe UI"/>
        <family val="2"/>
      </rPr>
      <t xml:space="preserve"> FLOKKASKIPTING</t>
    </r>
  </si>
  <si>
    <r>
      <rPr>
        <b/>
        <sz val="16"/>
        <color theme="9"/>
        <rFont val="Segoe UI"/>
        <family val="2"/>
      </rPr>
      <t>IPCC</t>
    </r>
    <r>
      <rPr>
        <b/>
        <sz val="16"/>
        <color rgb="FF855092"/>
        <rFont val="Segoe UI"/>
        <family val="2"/>
      </rPr>
      <t xml:space="preserve"> CATEGORISATION</t>
    </r>
  </si>
  <si>
    <r>
      <rPr>
        <b/>
        <sz val="16"/>
        <color theme="9"/>
        <rFont val="Segoe UI"/>
        <family val="2"/>
      </rPr>
      <t>ALTERNATIVE</t>
    </r>
    <r>
      <rPr>
        <b/>
        <sz val="16"/>
        <color rgb="FF855092"/>
        <rFont val="Segoe UI"/>
        <family val="2"/>
      </rPr>
      <t xml:space="preserve"> CATEGORISATION</t>
    </r>
  </si>
  <si>
    <r>
      <rPr>
        <b/>
        <sz val="16"/>
        <color theme="9"/>
        <rFont val="Segoe UI"/>
        <family val="2"/>
      </rPr>
      <t>ÖNNUR</t>
    </r>
    <r>
      <rPr>
        <b/>
        <sz val="16"/>
        <color rgb="FF855092"/>
        <rFont val="Segoe UI"/>
        <family val="2"/>
      </rPr>
      <t xml:space="preserve"> FLOKKASKIPTING</t>
    </r>
  </si>
  <si>
    <t>ALMENNT EKKI TALIÐ TIL HEILDARLOSUNAR RÍKJA. LOSUNIN ER AÐ HLUTA INNAN ETS KERFISINS.</t>
  </si>
  <si>
    <t>GENERALLY NOT INCLUDED IN NATIONAL TOTAL EMNISSIONS. PART OF THESE EMISSIONS ARE COUNTED UNDER THE ETS.</t>
  </si>
  <si>
    <r>
      <rPr>
        <b/>
        <sz val="11"/>
        <color theme="1"/>
        <rFont val="Segoe UI"/>
        <family val="2"/>
        <scheme val="minor"/>
      </rPr>
      <t xml:space="preserve">Skil Umhverfis- og orkustofnunar til ESB í júlí 2025
</t>
    </r>
    <r>
      <rPr>
        <sz val="11"/>
        <color theme="1"/>
        <rFont val="Segoe UI"/>
        <family val="2"/>
        <scheme val="minor"/>
      </rPr>
      <t>Environment and Energy Agency of Iceland's submission to the EU in July 2025.</t>
    </r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</si>
  <si>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  <r>
      <rPr>
        <b/>
        <sz val="11"/>
        <color theme="1"/>
        <rFont val="Segoe UI"/>
        <family val="2"/>
        <scheme val="minor"/>
      </rPr>
      <t xml:space="preserve">
and Birgir Urbancic Ásgeirsson</t>
    </r>
    <r>
      <rPr>
        <sz val="11"/>
        <color theme="1"/>
        <rFont val="Segoe UI"/>
        <family val="2"/>
        <scheme val="minor"/>
      </rPr>
      <t xml:space="preserve">, </t>
    </r>
    <r>
      <rPr>
        <b/>
        <sz val="11"/>
        <color theme="1"/>
        <rFont val="Segoe UI"/>
        <family val="2"/>
        <scheme val="minor"/>
      </rPr>
      <t>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</si>
</sst>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0.0"/>
    <numFmt numFmtId="166" formatCode="0.000%"/>
    <numFmt numFmtId="167" formatCode="0.000"/>
    <numFmt numFmtId="168" formatCode="0.0000"/>
    <numFmt numFmtId="169" formatCode="0.00000"/>
    <numFmt numFmtId="170" formatCode="0.000000"/>
    <numFmt numFmtId="171" formatCode="_-* #,##0.00_-;\-* #,##0.00_-;_-* &quot;-&quot;_-;_-@_-"/>
    <numFmt numFmtId="172" formatCode="0.0000000"/>
    <numFmt numFmtId="173" formatCode="0.0000%"/>
  </numFmts>
  <fonts count="193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sz val="12"/>
      <color theme="0"/>
      <name val="Segoe UI"/>
      <family val="2"/>
      <scheme val="minor"/>
    </font>
    <font>
      <b/>
      <sz val="11"/>
      <color theme="0"/>
      <name val="Segoe UI"/>
      <family val="2"/>
      <scheme val="minor"/>
    </font>
    <font>
      <sz val="10"/>
      <color theme="0" tint="-0.499984740745262"/>
      <name val="Segoe UI"/>
      <family val="2"/>
    </font>
    <font>
      <sz val="11"/>
      <color theme="0" tint="-0.499984740745262"/>
      <name val="Segoe UI"/>
      <family val="2"/>
    </font>
    <font>
      <b/>
      <sz val="24"/>
      <color theme="9"/>
      <name val="Segoe UI"/>
      <family val="2"/>
    </font>
    <font>
      <b/>
      <sz val="24"/>
      <color theme="0"/>
      <name val="Segoe UI"/>
      <family val="2"/>
    </font>
    <font>
      <sz val="24"/>
      <color theme="0"/>
      <name val="Segoe UI"/>
      <family val="2"/>
    </font>
    <font>
      <sz val="10"/>
      <name val="Segoe U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4"/>
      <color theme="0"/>
      <name val="Segoe UI"/>
      <family val="2"/>
    </font>
    <font>
      <b/>
      <sz val="11"/>
      <color theme="9"/>
      <name val="Segoe UI"/>
      <family val="2"/>
    </font>
    <font>
      <sz val="11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rgb="FF3F566D"/>
      <name val="Segoe UI"/>
      <family val="2"/>
    </font>
    <font>
      <i/>
      <sz val="10"/>
      <color theme="0" tint="-0.499984740745262"/>
      <name val="Segoe UI"/>
      <family val="2"/>
    </font>
    <font>
      <sz val="11"/>
      <color theme="1"/>
      <name val="Segoe UI"/>
      <family val="2"/>
    </font>
    <font>
      <b/>
      <sz val="8"/>
      <color theme="1"/>
      <name val="Segoe UI"/>
      <family val="2"/>
    </font>
    <font>
      <sz val="9"/>
      <color theme="1"/>
      <name val="Segoe UI"/>
      <family val="2"/>
    </font>
    <font>
      <b/>
      <sz val="10"/>
      <color theme="9"/>
      <name val="Segoe UI"/>
      <family val="2"/>
    </font>
    <font>
      <sz val="5"/>
      <name val="Segoe UI"/>
      <family val="2"/>
    </font>
    <font>
      <sz val="10"/>
      <color theme="9"/>
      <name val="Segoe UI"/>
      <family val="2"/>
    </font>
    <font>
      <b/>
      <sz val="10"/>
      <name val="Segoe UI"/>
      <family val="2"/>
    </font>
    <font>
      <i/>
      <sz val="9"/>
      <color theme="9"/>
      <name val="Segoe UI"/>
      <family val="2"/>
    </font>
    <font>
      <sz val="9"/>
      <name val="Segoe UI"/>
      <family val="2"/>
    </font>
    <font>
      <b/>
      <sz val="5"/>
      <name val="Segoe UI"/>
      <family val="2"/>
    </font>
    <font>
      <b/>
      <sz val="20"/>
      <color theme="0"/>
      <name val="Segoe UI"/>
      <family val="2"/>
    </font>
    <font>
      <sz val="20"/>
      <color theme="0"/>
      <name val="Segoe UI"/>
      <family val="2"/>
    </font>
    <font>
      <sz val="14"/>
      <color theme="0"/>
      <name val="Segoe UI"/>
      <family val="2"/>
    </font>
    <font>
      <sz val="11"/>
      <color theme="9"/>
      <name val="Segoe UI"/>
      <family val="2"/>
    </font>
    <font>
      <sz val="14"/>
      <name val="Segoe UI"/>
      <family val="2"/>
    </font>
    <font>
      <b/>
      <sz val="11"/>
      <color rgb="FF008AAC"/>
      <name val="Segoe UI"/>
      <family val="2"/>
    </font>
    <font>
      <sz val="8"/>
      <color theme="0" tint="-0.499984740745262"/>
      <name val="Segoe UI"/>
      <family val="2"/>
    </font>
    <font>
      <sz val="8"/>
      <color theme="9"/>
      <name val="Segoe UI"/>
      <family val="2"/>
    </font>
    <font>
      <b/>
      <sz val="8"/>
      <color theme="9"/>
      <name val="Segoe UI"/>
      <family val="2"/>
    </font>
    <font>
      <b/>
      <sz val="8"/>
      <color rgb="FFFF0000"/>
      <name val="Segoe UI"/>
      <family val="2"/>
    </font>
    <font>
      <b/>
      <sz val="20"/>
      <name val="Segoe UI"/>
      <family val="2"/>
    </font>
    <font>
      <sz val="20"/>
      <name val="Segoe UI"/>
      <family val="2"/>
    </font>
    <font>
      <b/>
      <sz val="24"/>
      <name val="Segoe UI"/>
      <family val="2"/>
    </font>
    <font>
      <sz val="10"/>
      <color theme="0"/>
      <name val="Segoe UI"/>
      <family val="2"/>
    </font>
    <font>
      <b/>
      <sz val="11"/>
      <color rgb="FF855092"/>
      <name val="Segoe UI"/>
      <family val="2"/>
    </font>
    <font>
      <vertAlign val="subscript"/>
      <sz val="10"/>
      <name val="Segoe UI"/>
      <family val="2"/>
    </font>
    <font>
      <sz val="8"/>
      <name val="Segoe UI"/>
      <family val="2"/>
    </font>
    <font>
      <sz val="14"/>
      <color theme="9"/>
      <name val="Segoe UI"/>
      <family val="2"/>
    </font>
    <font>
      <sz val="9"/>
      <color theme="0" tint="-0.499984740745262"/>
      <name val="Segoe UI"/>
      <family val="2"/>
    </font>
    <font>
      <b/>
      <sz val="10"/>
      <color theme="0" tint="-4.9989318521683403E-2"/>
      <name val="Segoe UI"/>
      <family val="2"/>
    </font>
    <font>
      <b/>
      <sz val="11"/>
      <color rgb="FF68A200"/>
      <name val="Segoe UI"/>
      <family val="2"/>
    </font>
    <font>
      <sz val="10"/>
      <color theme="1"/>
      <name val="Segoe UI"/>
      <family val="2"/>
    </font>
    <font>
      <sz val="9"/>
      <color theme="9"/>
      <name val="Segoe UI"/>
      <family val="2"/>
    </font>
    <font>
      <b/>
      <sz val="11"/>
      <color rgb="FFED7D31"/>
      <name val="Segoe UI"/>
      <family val="2"/>
    </font>
    <font>
      <b/>
      <sz val="14"/>
      <color theme="9"/>
      <name val="Segoe UI"/>
      <family val="2"/>
    </font>
    <font>
      <b/>
      <sz val="11"/>
      <color theme="0" tint="-0.499984740745262"/>
      <name val="Segoe UI"/>
      <family val="2"/>
    </font>
    <font>
      <sz val="8"/>
      <color theme="1"/>
      <name val="Segoe UI"/>
      <family val="2"/>
    </font>
    <font>
      <sz val="24"/>
      <name val="Segoe UI"/>
      <family val="2"/>
    </font>
    <font>
      <b/>
      <sz val="18"/>
      <color theme="9"/>
      <name val="Segoe UI"/>
      <family val="2"/>
    </font>
    <font>
      <b/>
      <sz val="18"/>
      <color theme="0"/>
      <name val="Segoe UI"/>
      <family val="2"/>
    </font>
    <font>
      <b/>
      <sz val="11"/>
      <color rgb="FF23A5D9"/>
      <name val="Segoe UI"/>
      <family val="2"/>
    </font>
    <font>
      <sz val="9"/>
      <color rgb="FFFF0000"/>
      <name val="Segoe UI"/>
      <family val="2"/>
    </font>
    <font>
      <b/>
      <sz val="10"/>
      <color theme="3"/>
      <name val="Segoe UI"/>
      <family val="2"/>
    </font>
    <font>
      <sz val="8"/>
      <color theme="3"/>
      <name val="Segoe UI"/>
      <family val="2"/>
    </font>
    <font>
      <sz val="10"/>
      <color theme="3"/>
      <name val="Segoe UI"/>
      <family val="2"/>
    </font>
    <font>
      <b/>
      <sz val="8"/>
      <color theme="3"/>
      <name val="Segoe UI"/>
      <family val="2"/>
    </font>
    <font>
      <b/>
      <sz val="20"/>
      <color theme="9"/>
      <name val="Segoe UI"/>
      <family val="2"/>
    </font>
    <font>
      <sz val="24"/>
      <color theme="0" tint="-0.499984740745262"/>
      <name val="Segoe UI"/>
      <family val="2"/>
    </font>
    <font>
      <b/>
      <sz val="10"/>
      <color rgb="FFC9689E"/>
      <name val="Segoe UI"/>
      <family val="2"/>
    </font>
    <font>
      <b/>
      <sz val="22"/>
      <color theme="0"/>
      <name val="Segoe UI"/>
      <family val="2"/>
    </font>
    <font>
      <b/>
      <sz val="14"/>
      <name val="Segoe UI"/>
      <family val="2"/>
    </font>
    <font>
      <sz val="11"/>
      <color rgb="FFFF0000"/>
      <name val="Segoe UI"/>
      <family val="2"/>
    </font>
    <font>
      <sz val="8"/>
      <color theme="0"/>
      <name val="Segoe UI"/>
      <family val="2"/>
    </font>
    <font>
      <sz val="8.8000000000000007"/>
      <color theme="1"/>
      <name val="Segoe UI"/>
      <family val="2"/>
    </font>
    <font>
      <b/>
      <sz val="11"/>
      <color theme="1"/>
      <name val="Segoe UI"/>
      <family val="2"/>
    </font>
    <font>
      <vertAlign val="subscript"/>
      <sz val="8"/>
      <color theme="1"/>
      <name val="Segoe UI"/>
      <family val="2"/>
    </font>
    <font>
      <sz val="18"/>
      <color theme="1"/>
      <name val="Segoe UI"/>
      <family val="2"/>
    </font>
    <font>
      <sz val="12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sz val="11"/>
      <color theme="0" tint="-0.14999847407452621"/>
      <name val="Segoe UI"/>
      <family val="2"/>
    </font>
    <font>
      <b/>
      <sz val="16"/>
      <color theme="1"/>
      <name val="Segoe UI"/>
      <family val="2"/>
    </font>
    <font>
      <sz val="16"/>
      <color theme="1"/>
      <name val="Segoe UI"/>
      <family val="2"/>
    </font>
    <font>
      <sz val="9"/>
      <color theme="0"/>
      <name val="Segoe UI"/>
      <family val="2"/>
    </font>
    <font>
      <b/>
      <sz val="11"/>
      <color theme="2"/>
      <name val="Segoe UI"/>
      <family val="2"/>
    </font>
    <font>
      <b/>
      <sz val="14"/>
      <color theme="7"/>
      <name val="Segoe UI"/>
      <family val="2"/>
    </font>
    <font>
      <b/>
      <sz val="10"/>
      <color theme="0"/>
      <name val="Segoe UI"/>
      <family val="2"/>
    </font>
    <font>
      <b/>
      <sz val="8"/>
      <color theme="0"/>
      <name val="Segoe UI"/>
      <family val="2"/>
    </font>
    <font>
      <sz val="5"/>
      <color theme="0" tint="-4.9989318521683403E-2"/>
      <name val="Segoe UI"/>
      <family val="2"/>
    </font>
    <font>
      <sz val="11"/>
      <color theme="0" tint="-0.249977111117893"/>
      <name val="Segoe UI"/>
      <family val="2"/>
    </font>
    <font>
      <sz val="10"/>
      <color theme="0" tint="-4.9989318521683403E-2"/>
      <name val="Segoe UI"/>
      <family val="2"/>
    </font>
    <font>
      <sz val="8"/>
      <color theme="0" tint="-4.9989318521683403E-2"/>
      <name val="Segoe UI"/>
      <family val="2"/>
    </font>
    <font>
      <sz val="8"/>
      <color theme="7" tint="0.79998168889431442"/>
      <name val="Segoe UI"/>
      <family val="2"/>
    </font>
    <font>
      <b/>
      <sz val="10"/>
      <color theme="0" tint="-0.499984740745262"/>
      <name val="Segoe UI"/>
      <family val="2"/>
    </font>
    <font>
      <sz val="5"/>
      <color theme="0"/>
      <name val="Segoe UI"/>
      <family val="2"/>
    </font>
    <font>
      <b/>
      <sz val="10"/>
      <color theme="1"/>
      <name val="Segoe UI"/>
      <family val="2"/>
    </font>
    <font>
      <b/>
      <sz val="16"/>
      <color theme="0"/>
      <name val="Segoe UI"/>
      <family val="2"/>
    </font>
    <font>
      <b/>
      <sz val="16"/>
      <color theme="9"/>
      <name val="Segoe UI"/>
      <family val="2"/>
    </font>
    <font>
      <b/>
      <sz val="16"/>
      <name val="Segoe UI"/>
      <family val="2"/>
    </font>
    <font>
      <sz val="5"/>
      <color theme="0" tint="-0.499984740745262"/>
      <name val="Segoe UI"/>
      <family val="2"/>
    </font>
    <font>
      <b/>
      <sz val="16"/>
      <color theme="7"/>
      <name val="Segoe UI"/>
      <family val="2"/>
    </font>
    <font>
      <sz val="11"/>
      <color theme="0"/>
      <name val="Segoe UI"/>
      <family val="2"/>
      <scheme val="minor"/>
    </font>
    <font>
      <sz val="11"/>
      <color theme="0" tint="-0.14999847407452621"/>
      <name val="Segoe UI"/>
      <family val="2"/>
      <scheme val="minor"/>
    </font>
    <font>
      <b/>
      <sz val="10"/>
      <color rgb="FF00302F"/>
      <name val="Segoe UI"/>
      <family val="2"/>
    </font>
    <font>
      <sz val="10"/>
      <color rgb="FF00302F"/>
      <name val="Segoe UI"/>
      <family val="2"/>
    </font>
    <font>
      <b/>
      <sz val="11"/>
      <color rgb="FF00302F"/>
      <name val="Segoe UI"/>
      <family val="2"/>
    </font>
    <font>
      <b/>
      <sz val="11"/>
      <color rgb="FF00827F"/>
      <name val="Segoe UI"/>
      <family val="2"/>
    </font>
    <font>
      <sz val="10"/>
      <color rgb="FF00827F"/>
      <name val="Segoe UI"/>
      <family val="2"/>
    </font>
    <font>
      <vertAlign val="subscript"/>
      <sz val="10"/>
      <color rgb="FF00827F"/>
      <name val="Aptos Narrow"/>
      <family val="2"/>
    </font>
    <font>
      <b/>
      <sz val="10"/>
      <color rgb="FF00827F"/>
      <name val="Segoe UI"/>
      <family val="2"/>
    </font>
    <font>
      <b/>
      <sz val="11"/>
      <color rgb="FF338DE9"/>
      <name val="Segoe UI"/>
      <family val="2"/>
    </font>
    <font>
      <b/>
      <sz val="10"/>
      <color rgb="FF338DE9"/>
      <name val="Segoe UI"/>
      <family val="2"/>
    </font>
    <font>
      <sz val="10"/>
      <color rgb="FF338DE9"/>
      <name val="Segoe UI"/>
      <family val="2"/>
    </font>
    <font>
      <sz val="11"/>
      <color rgb="FF338DE9"/>
      <name val="Segoe UI"/>
      <family val="2"/>
    </font>
    <font>
      <sz val="11"/>
      <color rgb="FF3C7290"/>
      <name val="Segoe UI"/>
      <family val="2"/>
    </font>
    <font>
      <b/>
      <sz val="11"/>
      <color rgb="FF3C7290"/>
      <name val="Segoe UI"/>
      <family val="2"/>
    </font>
    <font>
      <sz val="8"/>
      <color rgb="FF3C7290"/>
      <name val="Segoe UI"/>
      <family val="2"/>
    </font>
    <font>
      <sz val="11"/>
      <color rgb="FF3C7290"/>
      <name val="Aptos Narrow"/>
      <family val="2"/>
    </font>
    <font>
      <vertAlign val="subscript"/>
      <sz val="8"/>
      <color rgb="FF3C7290"/>
      <name val="Segoe UI"/>
      <family val="2"/>
    </font>
    <font>
      <sz val="16"/>
      <color rgb="FF338DE9"/>
      <name val="Segoe UI"/>
      <family val="2"/>
    </font>
    <font>
      <b/>
      <sz val="11"/>
      <color theme="3"/>
      <name val="Segoe UI"/>
      <family val="2"/>
    </font>
    <font>
      <sz val="11"/>
      <color theme="2"/>
      <name val="Segoe UI"/>
      <family val="2"/>
    </font>
    <font>
      <sz val="10"/>
      <color theme="2"/>
      <name val="Segoe UI"/>
      <family val="2"/>
    </font>
    <font>
      <sz val="8"/>
      <color theme="2"/>
      <name val="Segoe UI"/>
      <family val="2"/>
    </font>
    <font>
      <vertAlign val="subscript"/>
      <sz val="8"/>
      <color theme="2"/>
      <name val="Aptos Narrow"/>
      <family val="2"/>
    </font>
    <font>
      <sz val="10"/>
      <color theme="4"/>
      <name val="Segoe UI"/>
      <family val="2"/>
    </font>
    <font>
      <sz val="18"/>
      <color theme="2"/>
      <name val="Segoe UI"/>
      <family val="2"/>
    </font>
    <font>
      <sz val="18"/>
      <color theme="4"/>
      <name val="Segoe UI"/>
      <family val="2"/>
    </font>
    <font>
      <b/>
      <sz val="11"/>
      <color theme="6" tint="0.39997558519241921"/>
      <name val="Segoe UI"/>
      <family val="2"/>
    </font>
    <font>
      <sz val="11"/>
      <color theme="6" tint="0.39997558519241921"/>
      <name val="Segoe UI"/>
      <family val="2"/>
    </font>
    <font>
      <sz val="11"/>
      <color theme="6"/>
      <name val="Segoe UI"/>
      <family val="2"/>
    </font>
    <font>
      <b/>
      <sz val="11"/>
      <color theme="6"/>
      <name val="Segoe UI"/>
      <family val="2"/>
    </font>
    <font>
      <b/>
      <sz val="10"/>
      <color theme="6"/>
      <name val="Segoe UI"/>
      <family val="2"/>
    </font>
    <font>
      <sz val="10"/>
      <color theme="6"/>
      <name val="Segoe UI"/>
      <family val="2"/>
    </font>
    <font>
      <b/>
      <sz val="11"/>
      <color theme="1" tint="9.9978637043366805E-2"/>
      <name val="Segoe UI"/>
      <family val="2"/>
    </font>
    <font>
      <b/>
      <sz val="11"/>
      <color theme="4"/>
      <name val="Segoe UI"/>
      <family val="2"/>
    </font>
    <font>
      <b/>
      <sz val="26"/>
      <color rgb="FF008AAC"/>
      <name val="Segoe UI"/>
      <family val="2"/>
    </font>
    <font>
      <b/>
      <sz val="10"/>
      <color rgb="FF008AAC"/>
      <name val="Segoe UI"/>
      <family val="2"/>
    </font>
    <font>
      <sz val="10"/>
      <color rgb="FF008AAC"/>
      <name val="Segoe UI"/>
      <family val="2"/>
    </font>
    <font>
      <vertAlign val="subscript"/>
      <sz val="10"/>
      <color rgb="FF008AAC"/>
      <name val="Aptos Narrow"/>
      <family val="2"/>
    </font>
    <font>
      <sz val="11"/>
      <color rgb="FF008AAC"/>
      <name val="Segoe UI"/>
      <family val="2"/>
    </font>
    <font>
      <sz val="18"/>
      <color rgb="FF008AAC"/>
      <name val="Segoe UI"/>
      <family val="2"/>
    </font>
    <font>
      <b/>
      <sz val="26"/>
      <color rgb="FF7A5C00"/>
      <name val="Segoe UI"/>
      <family val="2"/>
    </font>
    <font>
      <b/>
      <sz val="10"/>
      <color rgb="FF7A5C00"/>
      <name val="Segoe UI"/>
      <family val="2"/>
    </font>
    <font>
      <sz val="10"/>
      <color rgb="FF7A5C00"/>
      <name val="Segoe UI"/>
      <family val="2"/>
    </font>
    <font>
      <vertAlign val="subscript"/>
      <sz val="10"/>
      <color rgb="FF7A5C00"/>
      <name val="Aptos Narrow"/>
      <family val="2"/>
    </font>
    <font>
      <sz val="11"/>
      <color rgb="FFB29A33"/>
      <name val="Segoe UI"/>
      <family val="2"/>
    </font>
    <font>
      <b/>
      <sz val="11"/>
      <color rgb="FFB29A33"/>
      <name val="Segoe UI"/>
      <family val="2"/>
    </font>
    <font>
      <sz val="18"/>
      <color rgb="FFB29A33"/>
      <name val="Segoe UI"/>
      <family val="2"/>
    </font>
    <font>
      <sz val="11"/>
      <color rgb="FF855092"/>
      <name val="Segoe UI"/>
      <family val="2"/>
    </font>
    <font>
      <b/>
      <sz val="10"/>
      <color rgb="FF855092"/>
      <name val="Segoe UI"/>
      <family val="2"/>
    </font>
    <font>
      <sz val="10"/>
      <color rgb="FF855092"/>
      <name val="Segoe UI"/>
      <family val="2"/>
    </font>
    <font>
      <vertAlign val="subscript"/>
      <sz val="10"/>
      <color rgb="FF855092"/>
      <name val="Aptos Narrow"/>
      <family val="2"/>
    </font>
    <font>
      <sz val="18"/>
      <color rgb="FF855092"/>
      <name val="Segoe UI"/>
      <family val="2"/>
    </font>
    <font>
      <b/>
      <sz val="10"/>
      <color rgb="FF68A200"/>
      <name val="Segoe UI"/>
      <family val="2"/>
    </font>
    <font>
      <sz val="10"/>
      <color rgb="FF68A200"/>
      <name val="Segoe UI"/>
      <family val="2"/>
    </font>
    <font>
      <vertAlign val="subscript"/>
      <sz val="10"/>
      <color rgb="FF68A200"/>
      <name val="Aptos Narrow"/>
      <family val="2"/>
    </font>
    <font>
      <sz val="11"/>
      <color rgb="FF68A200"/>
      <name val="Segoe UI"/>
      <family val="2"/>
    </font>
    <font>
      <b/>
      <sz val="10"/>
      <color rgb="FFED7D31"/>
      <name val="Segoe UI"/>
      <family val="2"/>
    </font>
    <font>
      <sz val="10"/>
      <color rgb="FFED7D31"/>
      <name val="Segoe UI"/>
      <family val="2"/>
    </font>
    <font>
      <vertAlign val="subscript"/>
      <sz val="10"/>
      <color rgb="FFED7D31"/>
      <name val="Aptos Narrow"/>
      <family val="2"/>
    </font>
    <font>
      <sz val="11"/>
      <color rgb="FFED7D31"/>
      <name val="Segoe UI"/>
      <family val="2"/>
    </font>
    <font>
      <sz val="18"/>
      <color rgb="FFED7D31"/>
      <name val="Segoe UI"/>
      <family val="2"/>
    </font>
    <font>
      <sz val="18"/>
      <color rgb="FF68A200"/>
      <name val="Segoe UI"/>
      <family val="2"/>
    </font>
    <font>
      <vertAlign val="subscript"/>
      <sz val="10"/>
      <color theme="0" tint="-0.499984740745262"/>
      <name val="Aptos Narrow"/>
      <family val="2"/>
    </font>
    <font>
      <sz val="18"/>
      <color theme="0" tint="-0.499984740745262"/>
      <name val="Segoe UI"/>
      <family val="2"/>
    </font>
    <font>
      <i/>
      <sz val="10"/>
      <color theme="9"/>
      <name val="Segoe UI"/>
      <family val="2"/>
    </font>
    <font>
      <b/>
      <sz val="11"/>
      <color rgb="FF4298BA"/>
      <name val="Segoe UI"/>
      <family val="2"/>
    </font>
    <font>
      <sz val="10"/>
      <color theme="0" tint="-0.14999847407452621"/>
      <name val="Segoe UI"/>
      <family val="2"/>
    </font>
    <font>
      <b/>
      <sz val="24"/>
      <color theme="2"/>
      <name val="Segoe UI"/>
      <family val="2"/>
    </font>
    <font>
      <b/>
      <sz val="22"/>
      <color rgb="FF00827F"/>
      <name val="Segoe UI"/>
      <family val="2"/>
    </font>
    <font>
      <b/>
      <sz val="26"/>
      <color theme="0"/>
      <name val="Segoe UI"/>
      <family val="2"/>
    </font>
    <font>
      <i/>
      <sz val="14"/>
      <color theme="0"/>
      <name val="Segoe UI"/>
      <family val="2"/>
    </font>
    <font>
      <b/>
      <sz val="22"/>
      <color rgb="FF338DE9"/>
      <name val="Segoe UI"/>
      <family val="2"/>
    </font>
    <font>
      <b/>
      <sz val="22"/>
      <color theme="3"/>
      <name val="Segoe UI"/>
      <family val="2"/>
    </font>
    <font>
      <b/>
      <sz val="22"/>
      <color theme="6" tint="0.39997558519241921"/>
      <name val="Segoe UI"/>
      <family val="2"/>
    </font>
    <font>
      <b/>
      <sz val="22"/>
      <color rgb="FF008AAC"/>
      <name val="Segoe UI"/>
      <family val="2"/>
    </font>
    <font>
      <b/>
      <sz val="22"/>
      <color rgb="FF7A5C00"/>
      <name val="Segoe UI"/>
      <family val="2"/>
    </font>
    <font>
      <b/>
      <sz val="22"/>
      <color rgb="FF855092"/>
      <name val="Segoe UI"/>
      <family val="2"/>
    </font>
    <font>
      <b/>
      <sz val="22"/>
      <color rgb="FF68A200"/>
      <name val="Segoe UI"/>
      <family val="2"/>
    </font>
    <font>
      <b/>
      <sz val="22"/>
      <color rgb="FFED7D31"/>
      <name val="Segoe UI"/>
      <family val="2"/>
    </font>
    <font>
      <b/>
      <sz val="22"/>
      <color theme="0" tint="-0.499984740745262"/>
      <name val="Segoe UI"/>
      <family val="2"/>
    </font>
    <font>
      <b/>
      <sz val="24"/>
      <color theme="4"/>
      <name val="Segoe UI"/>
      <family val="2"/>
    </font>
    <font>
      <b/>
      <sz val="14"/>
      <color theme="4"/>
      <name val="Segoe UI"/>
      <family val="2"/>
    </font>
    <font>
      <sz val="11"/>
      <color theme="4"/>
      <name val="Segoe UI"/>
      <family val="2"/>
    </font>
    <font>
      <b/>
      <sz val="10"/>
      <color theme="4"/>
      <name val="Segoe UI"/>
      <family val="2"/>
    </font>
    <font>
      <sz val="12"/>
      <color theme="0" tint="-4.9989318521683403E-2"/>
      <name val="Segoe UI"/>
      <family val="2"/>
    </font>
    <font>
      <b/>
      <sz val="16"/>
      <color theme="2"/>
      <name val="Segoe UI"/>
      <family val="2"/>
    </font>
    <font>
      <b/>
      <sz val="16"/>
      <color theme="3"/>
      <name val="Segoe UI"/>
      <family val="2"/>
    </font>
    <font>
      <b/>
      <sz val="16"/>
      <color rgb="FF338DE9"/>
      <name val="Segoe UI"/>
      <family val="2"/>
    </font>
    <font>
      <b/>
      <sz val="16"/>
      <color rgb="FF855092"/>
      <name val="Segoe UI"/>
      <family val="2"/>
    </font>
    <font>
      <b/>
      <sz val="24"/>
      <color theme="1"/>
      <name val="Segoe UI"/>
      <family val="2"/>
      <scheme val="minor"/>
    </font>
    <font>
      <b/>
      <sz val="9"/>
      <color theme="0" tint="-0.499984740745262"/>
      <name val="Segoe UI"/>
      <family val="2"/>
    </font>
    <font>
      <b/>
      <sz val="5"/>
      <color theme="0" tint="-4.9989318521683403E-2"/>
      <name val="Segoe UI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8999908444471571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3DDE9"/>
        <bgColor indexed="64"/>
      </patternFill>
    </fill>
    <fill>
      <patternFill patternType="solid">
        <fgColor rgb="FF008AAC"/>
        <bgColor indexed="64"/>
      </patternFill>
    </fill>
    <fill>
      <patternFill patternType="solid">
        <fgColor rgb="FFFFD44B"/>
        <bgColor indexed="64"/>
      </patternFill>
    </fill>
    <fill>
      <patternFill patternType="solid">
        <fgColor rgb="FF855092"/>
        <bgColor indexed="64"/>
      </patternFill>
    </fill>
    <fill>
      <patternFill patternType="solid">
        <fgColor rgb="FF68A2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EE4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6F3F7"/>
        <bgColor indexed="64"/>
      </patternFill>
    </fill>
    <fill>
      <patternFill patternType="solid">
        <fgColor rgb="FFFFF6DB"/>
        <bgColor indexed="64"/>
      </patternFill>
    </fill>
    <fill>
      <patternFill patternType="solid">
        <fgColor rgb="FFE7DCE9"/>
        <bgColor indexed="64"/>
      </patternFill>
    </fill>
    <fill>
      <patternFill patternType="solid">
        <fgColor rgb="FFE1ECCC"/>
        <bgColor indexed="64"/>
      </patternFill>
    </fill>
    <fill>
      <patternFill patternType="solid">
        <fgColor rgb="FFF4E1EC"/>
        <bgColor indexed="64"/>
      </patternFill>
    </fill>
    <fill>
      <patternFill patternType="solid">
        <fgColor rgb="FF338DE9"/>
        <bgColor indexed="64"/>
      </patternFill>
    </fill>
    <fill>
      <patternFill patternType="solid">
        <fgColor rgb="FFD6E8FB"/>
        <bgColor indexed="64"/>
      </patternFill>
    </fill>
    <fill>
      <patternFill patternType="solid">
        <fgColor rgb="FF00BDA2"/>
        <bgColor indexed="64"/>
      </patternFill>
    </fill>
    <fill>
      <patternFill patternType="solid">
        <fgColor rgb="FF00302F"/>
        <bgColor indexed="64"/>
      </patternFill>
    </fill>
    <fill>
      <patternFill patternType="solid">
        <fgColor rgb="FFFF9A8A"/>
        <bgColor indexed="64"/>
      </patternFill>
    </fill>
    <fill>
      <patternFill patternType="solid">
        <fgColor rgb="FFCCDFDF"/>
        <bgColor indexed="64"/>
      </patternFill>
    </fill>
    <fill>
      <patternFill patternType="solid">
        <fgColor rgb="FFFFDDD8"/>
        <bgColor indexed="64"/>
      </patternFill>
    </fill>
    <fill>
      <patternFill patternType="solid">
        <fgColor rgb="FFADD1F6"/>
        <bgColor indexed="64"/>
      </patternFill>
    </fill>
    <fill>
      <patternFill patternType="solid">
        <fgColor rgb="FF99E5DA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2E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EEB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D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0" tint="-0.249977111117893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 tint="-0.249977111117893"/>
      </bottom>
      <diagonal/>
    </border>
    <border>
      <left/>
      <right/>
      <top style="thick">
        <color theme="0"/>
      </top>
      <bottom style="thin">
        <color theme="0" tint="-0.249977111117893"/>
      </bottom>
      <diagonal/>
    </border>
    <border>
      <left/>
      <right style="thick">
        <color theme="0"/>
      </right>
      <top style="thick">
        <color theme="0"/>
      </top>
      <bottom style="thin">
        <color theme="0" tint="-0.249977111117893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n">
        <color theme="0" tint="-0.249977111117893"/>
      </bottom>
      <diagonal/>
    </border>
    <border>
      <left/>
      <right style="thin">
        <color theme="0"/>
      </right>
      <top/>
      <bottom style="thin">
        <color theme="0" tint="-0.249977111117893"/>
      </bottom>
      <diagonal/>
    </border>
    <border>
      <left style="thick">
        <color theme="0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rgb="FFD6E8FB"/>
      </right>
      <top/>
      <bottom/>
      <diagonal/>
    </border>
    <border>
      <left/>
      <right style="thin">
        <color rgb="FFD6E8FB"/>
      </right>
      <top style="thick">
        <color theme="0"/>
      </top>
      <bottom/>
      <diagonal/>
    </border>
    <border>
      <left style="thin">
        <color rgb="FFD6E8FB"/>
      </left>
      <right/>
      <top/>
      <bottom/>
      <diagonal/>
    </border>
    <border>
      <left/>
      <right style="thin">
        <color rgb="FFADD1F6"/>
      </right>
      <top style="thick">
        <color theme="0"/>
      </top>
      <bottom/>
      <diagonal/>
    </border>
    <border>
      <left/>
      <right style="thin">
        <color rgb="FFADD1F6"/>
      </right>
      <top/>
      <bottom/>
      <diagonal/>
    </border>
    <border>
      <left/>
      <right/>
      <top/>
      <bottom style="thin">
        <color rgb="FFADD1F6"/>
      </bottom>
      <diagonal/>
    </border>
    <border>
      <left/>
      <right style="thin">
        <color rgb="FFADD1F6"/>
      </right>
      <top/>
      <bottom style="thin">
        <color rgb="FFADD1F6"/>
      </bottom>
      <diagonal/>
    </border>
    <border>
      <left/>
      <right style="thin">
        <color rgb="FFD6E8FB"/>
      </right>
      <top/>
      <bottom style="thin">
        <color rgb="FFADD1F6"/>
      </bottom>
      <diagonal/>
    </border>
    <border>
      <left style="thin">
        <color rgb="FFD6E8FB"/>
      </left>
      <right/>
      <top/>
      <bottom style="thin">
        <color rgb="FFADD1F6"/>
      </bottom>
      <diagonal/>
    </border>
    <border>
      <left/>
      <right style="thin">
        <color rgb="FFADD1F6"/>
      </right>
      <top/>
      <bottom style="thick">
        <color theme="0"/>
      </bottom>
      <diagonal/>
    </border>
    <border>
      <left/>
      <right style="thin">
        <color rgb="FFCCF2EC"/>
      </right>
      <top style="thick">
        <color theme="0"/>
      </top>
      <bottom/>
      <diagonal/>
    </border>
    <border>
      <left/>
      <right style="thin">
        <color rgb="FFCCF2EC"/>
      </right>
      <top/>
      <bottom/>
      <diagonal/>
    </border>
    <border>
      <left/>
      <right style="thin">
        <color rgb="FF99E5DA"/>
      </right>
      <top style="thick">
        <color theme="0"/>
      </top>
      <bottom/>
      <diagonal/>
    </border>
    <border>
      <left/>
      <right style="thin">
        <color rgb="FF99E5DA"/>
      </right>
      <top/>
      <bottom/>
      <diagonal/>
    </border>
    <border>
      <left/>
      <right style="thin">
        <color rgb="FF99E5DA"/>
      </right>
      <top/>
      <bottom style="thick">
        <color theme="0"/>
      </bottom>
      <diagonal/>
    </border>
    <border>
      <left style="thin">
        <color rgb="FF99E5DA"/>
      </left>
      <right/>
      <top/>
      <bottom/>
      <diagonal/>
    </border>
    <border>
      <left/>
      <right/>
      <top/>
      <bottom style="thin">
        <color rgb="FF99E5DA"/>
      </bottom>
      <diagonal/>
    </border>
    <border>
      <left/>
      <right style="thin">
        <color rgb="FFCCF2EC"/>
      </right>
      <top/>
      <bottom style="thin">
        <color rgb="FF99E5DA"/>
      </bottom>
      <diagonal/>
    </border>
    <border>
      <left/>
      <right style="thin">
        <color rgb="FF99E5DA"/>
      </right>
      <top/>
      <bottom style="thin">
        <color rgb="FF99E5DA"/>
      </bottom>
      <diagonal/>
    </border>
    <border>
      <left/>
      <right/>
      <top style="thin">
        <color rgb="FF99E5DA"/>
      </top>
      <bottom style="thin">
        <color rgb="FF99E5DA"/>
      </bottom>
      <diagonal/>
    </border>
    <border>
      <left/>
      <right style="thin">
        <color rgb="FFCCF2EC"/>
      </right>
      <top style="thin">
        <color rgb="FF99E5DA"/>
      </top>
      <bottom style="thin">
        <color rgb="FF99E5DA"/>
      </bottom>
      <diagonal/>
    </border>
    <border>
      <left/>
      <right style="thin">
        <color rgb="FF99E5DA"/>
      </right>
      <top style="thin">
        <color rgb="FF99E5DA"/>
      </top>
      <bottom style="thin">
        <color rgb="FF99E5DA"/>
      </bottom>
      <diagonal/>
    </border>
    <border>
      <left style="thin">
        <color rgb="FFADD1F6"/>
      </left>
      <right/>
      <top/>
      <bottom/>
      <diagonal/>
    </border>
    <border>
      <left/>
      <right style="thin">
        <color theme="6" tint="0.79998168889431442"/>
      </right>
      <top/>
      <bottom/>
      <diagonal/>
    </border>
    <border>
      <left/>
      <right/>
      <top/>
      <bottom style="thin">
        <color theme="6" tint="0.79998168889431442"/>
      </bottom>
      <diagonal/>
    </border>
    <border>
      <left/>
      <right style="thin">
        <color theme="6" tint="0.79998168889431442"/>
      </right>
      <top/>
      <bottom style="thin">
        <color theme="6" tint="0.79998168889431442"/>
      </bottom>
      <diagonal/>
    </border>
    <border>
      <left/>
      <right style="thin">
        <color rgb="FF99CDCC"/>
      </right>
      <top style="thick">
        <color theme="0"/>
      </top>
      <bottom/>
      <diagonal/>
    </border>
    <border>
      <left/>
      <right style="thin">
        <color rgb="FF99CDCC"/>
      </right>
      <top/>
      <bottom/>
      <diagonal/>
    </border>
    <border>
      <left/>
      <right/>
      <top/>
      <bottom style="thin">
        <color rgb="FF99CDCC"/>
      </bottom>
      <diagonal/>
    </border>
    <border>
      <left/>
      <right style="thin">
        <color rgb="FF99CDCC"/>
      </right>
      <top/>
      <bottom style="thin">
        <color rgb="FF99CDCC"/>
      </bottom>
      <diagonal/>
    </border>
    <border>
      <left/>
      <right/>
      <top style="thin">
        <color rgb="FF99CDCC"/>
      </top>
      <bottom style="thin">
        <color rgb="FF99CDCC"/>
      </bottom>
      <diagonal/>
    </border>
    <border>
      <left/>
      <right style="thin">
        <color rgb="FF99CDCC"/>
      </right>
      <top style="thin">
        <color rgb="FF99CDCC"/>
      </top>
      <bottom style="thin">
        <color rgb="FF99CDCC"/>
      </bottom>
      <diagonal/>
    </border>
    <border>
      <left/>
      <right style="thin">
        <color rgb="FFCCE8EE"/>
      </right>
      <top style="thick">
        <color theme="0"/>
      </top>
      <bottom/>
      <diagonal/>
    </border>
    <border>
      <left/>
      <right style="thin">
        <color rgb="FFCCE8EE"/>
      </right>
      <top/>
      <bottom/>
      <diagonal/>
    </border>
    <border>
      <left/>
      <right/>
      <top/>
      <bottom style="thin">
        <color rgb="FFCCE8EE"/>
      </bottom>
      <diagonal/>
    </border>
    <border>
      <left/>
      <right style="thin">
        <color rgb="FFCCE8EE"/>
      </right>
      <top/>
      <bottom style="thin">
        <color rgb="FFCCE8EE"/>
      </bottom>
      <diagonal/>
    </border>
    <border>
      <left/>
      <right/>
      <top style="thin">
        <color rgb="FFCCE8EE"/>
      </top>
      <bottom style="thin">
        <color rgb="FFCCE8EE"/>
      </bottom>
      <diagonal/>
    </border>
    <border>
      <left/>
      <right style="thin">
        <color rgb="FFCCE8EE"/>
      </right>
      <top style="thin">
        <color rgb="FFCCE8EE"/>
      </top>
      <bottom style="thin">
        <color rgb="FFCCE8EE"/>
      </bottom>
      <diagonal/>
    </border>
    <border>
      <left/>
      <right style="thin">
        <color rgb="FFFFEAA5"/>
      </right>
      <top style="thick">
        <color theme="0"/>
      </top>
      <bottom/>
      <diagonal/>
    </border>
    <border>
      <left/>
      <right style="thin">
        <color rgb="FFFFEAA5"/>
      </right>
      <top/>
      <bottom/>
      <diagonal/>
    </border>
    <border>
      <left/>
      <right style="thin">
        <color rgb="FFFFEAA5"/>
      </right>
      <top/>
      <bottom style="thin">
        <color rgb="FFFFEAA5"/>
      </bottom>
      <diagonal/>
    </border>
    <border>
      <left/>
      <right/>
      <top/>
      <bottom style="thin">
        <color rgb="FFFFEAA5"/>
      </bottom>
      <diagonal/>
    </border>
    <border>
      <left style="thin">
        <color rgb="FFFFEAA5"/>
      </left>
      <right/>
      <top/>
      <bottom style="thin">
        <color rgb="FFFFEAA5"/>
      </bottom>
      <diagonal/>
    </border>
    <border>
      <left/>
      <right style="thin">
        <color rgb="FFE0D3E4"/>
      </right>
      <top style="thick">
        <color theme="0"/>
      </top>
      <bottom/>
      <diagonal/>
    </border>
    <border>
      <left/>
      <right style="thin">
        <color rgb="FFE0D3E4"/>
      </right>
      <top/>
      <bottom/>
      <diagonal/>
    </border>
    <border>
      <left/>
      <right style="thin">
        <color rgb="FFE0D3E4"/>
      </right>
      <top/>
      <bottom style="thin">
        <color rgb="FFE0D3E4"/>
      </bottom>
      <diagonal/>
    </border>
    <border>
      <left/>
      <right/>
      <top/>
      <bottom style="thin">
        <color rgb="FFE0D3E4"/>
      </bottom>
      <diagonal/>
    </border>
    <border>
      <left/>
      <right/>
      <top style="thin">
        <color rgb="FFE0D3E4"/>
      </top>
      <bottom style="thin">
        <color rgb="FFE0D3E4"/>
      </bottom>
      <diagonal/>
    </border>
    <border>
      <left/>
      <right style="thin">
        <color rgb="FFE0D3E4"/>
      </right>
      <top style="thin">
        <color rgb="FFE0D3E4"/>
      </top>
      <bottom style="thin">
        <color rgb="FFE0D3E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C3DA99"/>
      </right>
      <top/>
      <bottom/>
      <diagonal/>
    </border>
    <border>
      <left/>
      <right style="thin">
        <color rgb="FFC3DA99"/>
      </right>
      <top style="thick">
        <color theme="0"/>
      </top>
      <bottom/>
      <diagonal/>
    </border>
    <border>
      <left/>
      <right/>
      <top/>
      <bottom style="thin">
        <color rgb="FFC3DA99"/>
      </bottom>
      <diagonal/>
    </border>
    <border>
      <left/>
      <right style="thin">
        <color rgb="FFC3DA99"/>
      </right>
      <top/>
      <bottom style="thin">
        <color rgb="FFC3DA99"/>
      </bottom>
      <diagonal/>
    </border>
    <border>
      <left/>
      <right style="thin">
        <color rgb="FFF8CBAD"/>
      </right>
      <top style="thick">
        <color theme="0"/>
      </top>
      <bottom/>
      <diagonal/>
    </border>
    <border>
      <left/>
      <right style="thin">
        <color rgb="FFF8CBAD"/>
      </right>
      <top/>
      <bottom/>
      <diagonal/>
    </border>
    <border>
      <left/>
      <right/>
      <top/>
      <bottom style="thin">
        <color rgb="FFF8CBAD"/>
      </bottom>
      <diagonal/>
    </border>
    <border>
      <left/>
      <right style="thin">
        <color rgb="FFF8CBAD"/>
      </right>
      <top/>
      <bottom style="thin">
        <color rgb="FFF8CBAD"/>
      </bottom>
      <diagonal/>
    </border>
    <border>
      <left/>
      <right style="thin">
        <color theme="0" tint="-0.14999847407452621"/>
      </right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281">
    <xf numFmtId="0" fontId="0" fillId="0" borderId="0" xfId="0"/>
    <xf numFmtId="0" fontId="0" fillId="2" borderId="0" xfId="0" applyFill="1"/>
    <xf numFmtId="0" fontId="3" fillId="5" borderId="0" xfId="0" applyFont="1" applyFill="1" applyAlignment="1">
      <alignment vertical="center"/>
    </xf>
    <xf numFmtId="1" fontId="5" fillId="2" borderId="0" xfId="0" applyNumberFormat="1" applyFont="1" applyFill="1" applyAlignment="1">
      <alignment horizontal="left"/>
    </xf>
    <xf numFmtId="1" fontId="5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1" fontId="18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center"/>
    </xf>
    <xf numFmtId="1" fontId="5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horizontal="center" vertical="center"/>
    </xf>
    <xf numFmtId="1" fontId="20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" fontId="22" fillId="2" borderId="0" xfId="0" applyNumberFormat="1" applyFont="1" applyFill="1" applyAlignment="1">
      <alignment horizontal="left" vertical="center"/>
    </xf>
    <xf numFmtId="1" fontId="10" fillId="0" borderId="0" xfId="0" applyNumberFormat="1" applyFont="1" applyAlignment="1">
      <alignment horizontal="left" vertical="center"/>
    </xf>
    <xf numFmtId="1" fontId="10" fillId="0" borderId="0" xfId="0" applyNumberFormat="1" applyFont="1" applyAlignment="1">
      <alignment vertical="center"/>
    </xf>
    <xf numFmtId="1" fontId="10" fillId="0" borderId="0" xfId="0" applyNumberFormat="1" applyFont="1" applyAlignment="1">
      <alignment horizontal="center" vertical="center"/>
    </xf>
    <xf numFmtId="1" fontId="10" fillId="0" borderId="0" xfId="0" applyNumberFormat="1" applyFont="1"/>
    <xf numFmtId="1" fontId="23" fillId="16" borderId="0" xfId="0" applyNumberFormat="1" applyFont="1" applyFill="1" applyAlignment="1">
      <alignment horizontal="center" vertical="center"/>
    </xf>
    <xf numFmtId="1" fontId="10" fillId="2" borderId="0" xfId="0" applyNumberFormat="1" applyFont="1" applyFill="1"/>
    <xf numFmtId="1" fontId="24" fillId="2" borderId="0" xfId="0" applyNumberFormat="1" applyFont="1" applyFill="1" applyAlignment="1">
      <alignment horizontal="left" vertical="center"/>
    </xf>
    <xf numFmtId="1" fontId="25" fillId="0" borderId="0" xfId="0" applyNumberFormat="1" applyFont="1" applyAlignment="1">
      <alignment horizontal="left" vertical="center"/>
    </xf>
    <xf numFmtId="1" fontId="25" fillId="0" borderId="0" xfId="0" applyNumberFormat="1" applyFont="1" applyAlignment="1">
      <alignment vertical="center"/>
    </xf>
    <xf numFmtId="1" fontId="25" fillId="0" borderId="0" xfId="0" applyNumberFormat="1" applyFont="1" applyAlignment="1">
      <alignment horizontal="center" vertical="center"/>
    </xf>
    <xf numFmtId="1" fontId="25" fillId="0" borderId="0" xfId="0" applyNumberFormat="1" applyFont="1"/>
    <xf numFmtId="1" fontId="25" fillId="2" borderId="0" xfId="0" applyNumberFormat="1" applyFont="1" applyFill="1"/>
    <xf numFmtId="1" fontId="5" fillId="2" borderId="0" xfId="0" applyNumberFormat="1" applyFont="1" applyFill="1"/>
    <xf numFmtId="1" fontId="26" fillId="2" borderId="0" xfId="0" applyNumberFormat="1" applyFont="1" applyFill="1" applyAlignment="1">
      <alignment vertical="center"/>
    </xf>
    <xf numFmtId="0" fontId="27" fillId="2" borderId="0" xfId="0" applyFont="1" applyFill="1" applyAlignment="1">
      <alignment horizontal="center"/>
    </xf>
    <xf numFmtId="1" fontId="12" fillId="2" borderId="0" xfId="0" applyNumberFormat="1" applyFont="1" applyFill="1"/>
    <xf numFmtId="1" fontId="28" fillId="2" borderId="0" xfId="0" applyNumberFormat="1" applyFont="1" applyFill="1" applyAlignment="1">
      <alignment horizontal="center" vertical="center"/>
    </xf>
    <xf numFmtId="0" fontId="12" fillId="2" borderId="0" xfId="0" applyFont="1" applyFill="1"/>
    <xf numFmtId="1" fontId="10" fillId="16" borderId="0" xfId="0" applyNumberFormat="1" applyFont="1" applyFill="1"/>
    <xf numFmtId="1" fontId="28" fillId="16" borderId="0" xfId="0" applyNumberFormat="1" applyFont="1" applyFill="1" applyAlignment="1">
      <alignment horizontal="center" vertical="center"/>
    </xf>
    <xf numFmtId="1" fontId="25" fillId="16" borderId="0" xfId="0" applyNumberFormat="1" applyFont="1" applyFill="1"/>
    <xf numFmtId="0" fontId="11" fillId="2" borderId="0" xfId="0" applyFont="1" applyFill="1"/>
    <xf numFmtId="1" fontId="10" fillId="2" borderId="0" xfId="0" applyNumberFormat="1" applyFont="1" applyFill="1" applyAlignment="1">
      <alignment vertical="center"/>
    </xf>
    <xf numFmtId="1" fontId="10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6" fillId="2" borderId="0" xfId="0" applyFont="1" applyFill="1"/>
    <xf numFmtId="0" fontId="19" fillId="2" borderId="0" xfId="0" applyFont="1" applyFill="1"/>
    <xf numFmtId="0" fontId="24" fillId="2" borderId="0" xfId="0" applyFont="1" applyFill="1" applyAlignment="1">
      <alignment horizontal="left" vertical="center"/>
    </xf>
    <xf numFmtId="0" fontId="10" fillId="0" borderId="0" xfId="0" applyFont="1" applyAlignment="1">
      <alignment vertical="center"/>
    </xf>
    <xf numFmtId="1" fontId="10" fillId="0" borderId="0" xfId="0" applyNumberFormat="1" applyFont="1" applyAlignment="1">
      <alignment horizontal="right" vertical="center"/>
    </xf>
    <xf numFmtId="0" fontId="22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5" fillId="2" borderId="0" xfId="0" applyFont="1" applyFill="1"/>
    <xf numFmtId="0" fontId="32" fillId="2" borderId="0" xfId="0" applyFont="1" applyFill="1"/>
    <xf numFmtId="1" fontId="10" fillId="2" borderId="0" xfId="0" applyNumberFormat="1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8" fillId="10" borderId="0" xfId="0" applyFont="1" applyFill="1" applyAlignment="1">
      <alignment vertical="center"/>
    </xf>
    <xf numFmtId="9" fontId="10" fillId="10" borderId="0" xfId="1" applyFont="1" applyFill="1" applyAlignment="1">
      <alignment horizontal="center" vertical="center"/>
    </xf>
    <xf numFmtId="1" fontId="16" fillId="10" borderId="0" xfId="1" applyNumberFormat="1" applyFont="1" applyFill="1" applyAlignment="1">
      <alignment horizontal="center"/>
    </xf>
    <xf numFmtId="0" fontId="34" fillId="2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35" fillId="2" borderId="0" xfId="0" applyFont="1" applyFill="1" applyAlignment="1">
      <alignment horizontal="left"/>
    </xf>
    <xf numFmtId="0" fontId="36" fillId="2" borderId="0" xfId="0" applyFont="1" applyFill="1"/>
    <xf numFmtId="1" fontId="35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1" fontId="35" fillId="0" borderId="0" xfId="0" applyNumberFormat="1" applyFont="1" applyAlignment="1">
      <alignment horizontal="center" vertical="center"/>
    </xf>
    <xf numFmtId="1" fontId="35" fillId="0" borderId="0" xfId="0" applyNumberFormat="1" applyFont="1"/>
    <xf numFmtId="0" fontId="35" fillId="2" borderId="0" xfId="0" applyFont="1" applyFill="1"/>
    <xf numFmtId="1" fontId="37" fillId="2" borderId="0" xfId="0" applyNumberFormat="1" applyFont="1" applyFill="1" applyAlignment="1">
      <alignment horizontal="center" vertical="center"/>
    </xf>
    <xf numFmtId="1" fontId="38" fillId="4" borderId="0" xfId="0" applyNumberFormat="1" applyFont="1" applyFill="1" applyAlignment="1">
      <alignment horizontal="center" vertical="center"/>
    </xf>
    <xf numFmtId="1" fontId="38" fillId="4" borderId="0" xfId="0" applyNumberFormat="1" applyFont="1" applyFill="1" applyAlignment="1">
      <alignment vertical="center"/>
    </xf>
    <xf numFmtId="1" fontId="35" fillId="4" borderId="0" xfId="0" applyNumberFormat="1" applyFont="1" applyFill="1" applyAlignment="1">
      <alignment horizontal="center" vertical="center"/>
    </xf>
    <xf numFmtId="1" fontId="35" fillId="4" borderId="0" xfId="0" applyNumberFormat="1" applyFont="1" applyFill="1"/>
    <xf numFmtId="1" fontId="25" fillId="2" borderId="0" xfId="0" applyNumberFormat="1" applyFont="1" applyFill="1" applyAlignment="1">
      <alignment horizontal="left" vertical="center"/>
    </xf>
    <xf numFmtId="1" fontId="25" fillId="2" borderId="0" xfId="0" applyNumberFormat="1" applyFont="1" applyFill="1" applyAlignment="1">
      <alignment vertical="center"/>
    </xf>
    <xf numFmtId="165" fontId="25" fillId="2" borderId="0" xfId="0" applyNumberFormat="1" applyFont="1" applyFill="1"/>
    <xf numFmtId="0" fontId="7" fillId="11" borderId="0" xfId="0" applyFont="1" applyFill="1" applyAlignment="1">
      <alignment horizontal="left"/>
    </xf>
    <xf numFmtId="0" fontId="41" fillId="11" borderId="0" xfId="0" applyFont="1" applyFill="1" applyAlignment="1">
      <alignment horizontal="left"/>
    </xf>
    <xf numFmtId="0" fontId="41" fillId="11" borderId="0" xfId="0" applyFont="1" applyFill="1" applyAlignment="1">
      <alignment vertical="center"/>
    </xf>
    <xf numFmtId="0" fontId="42" fillId="11" borderId="0" xfId="0" applyFont="1" applyFill="1" applyAlignment="1">
      <alignment horizontal="center"/>
    </xf>
    <xf numFmtId="1" fontId="16" fillId="11" borderId="0" xfId="1" applyNumberFormat="1" applyFont="1" applyFill="1" applyAlignment="1">
      <alignment horizontal="center"/>
    </xf>
    <xf numFmtId="2" fontId="10" fillId="0" borderId="0" xfId="0" applyNumberFormat="1" applyFont="1"/>
    <xf numFmtId="165" fontId="10" fillId="0" borderId="0" xfId="0" applyNumberFormat="1" applyFont="1"/>
    <xf numFmtId="1" fontId="10" fillId="0" borderId="0" xfId="0" applyNumberFormat="1" applyFont="1" applyAlignment="1">
      <alignment horizontal="right"/>
    </xf>
    <xf numFmtId="0" fontId="12" fillId="2" borderId="0" xfId="0" applyFont="1" applyFill="1" applyAlignment="1">
      <alignment horizontal="right"/>
    </xf>
    <xf numFmtId="1" fontId="36" fillId="2" borderId="0" xfId="0" applyNumberFormat="1" applyFont="1" applyFill="1" applyAlignment="1">
      <alignment horizontal="left" vertical="center"/>
    </xf>
    <xf numFmtId="1" fontId="35" fillId="0" borderId="0" xfId="0" applyNumberFormat="1" applyFont="1" applyAlignment="1">
      <alignment horizontal="left" vertical="center"/>
    </xf>
    <xf numFmtId="165" fontId="35" fillId="0" borderId="0" xfId="0" applyNumberFormat="1" applyFont="1"/>
    <xf numFmtId="2" fontId="35" fillId="0" borderId="0" xfId="0" applyNumberFormat="1" applyFont="1"/>
    <xf numFmtId="0" fontId="42" fillId="2" borderId="0" xfId="0" applyFont="1" applyFill="1" applyAlignment="1">
      <alignment horizontal="left" vertical="center"/>
    </xf>
    <xf numFmtId="0" fontId="42" fillId="12" borderId="0" xfId="0" applyFont="1" applyFill="1" applyAlignment="1">
      <alignment horizontal="center" vertical="center"/>
    </xf>
    <xf numFmtId="1" fontId="16" fillId="12" borderId="0" xfId="1" applyNumberFormat="1" applyFont="1" applyFill="1" applyAlignment="1">
      <alignment horizontal="center"/>
    </xf>
    <xf numFmtId="0" fontId="43" fillId="2" borderId="0" xfId="0" applyFont="1" applyFill="1" applyAlignment="1">
      <alignment vertical="center"/>
    </xf>
    <xf numFmtId="168" fontId="10" fillId="0" borderId="0" xfId="0" applyNumberFormat="1" applyFont="1"/>
    <xf numFmtId="167" fontId="10" fillId="0" borderId="0" xfId="0" applyNumberFormat="1" applyFont="1"/>
    <xf numFmtId="165" fontId="45" fillId="0" borderId="0" xfId="0" applyNumberFormat="1" applyFont="1"/>
    <xf numFmtId="0" fontId="45" fillId="2" borderId="0" xfId="0" applyFont="1" applyFill="1"/>
    <xf numFmtId="0" fontId="10" fillId="12" borderId="0" xfId="0" applyFont="1" applyFill="1" applyAlignment="1">
      <alignment horizontal="center" vertical="center"/>
    </xf>
    <xf numFmtId="168" fontId="19" fillId="2" borderId="0" xfId="0" applyNumberFormat="1" applyFont="1" applyFill="1" applyAlignment="1">
      <alignment vertical="center"/>
    </xf>
    <xf numFmtId="169" fontId="5" fillId="2" borderId="0" xfId="0" applyNumberFormat="1" applyFont="1" applyFill="1" applyAlignment="1">
      <alignment vertical="center"/>
    </xf>
    <xf numFmtId="170" fontId="5" fillId="2" borderId="0" xfId="0" applyNumberFormat="1" applyFont="1" applyFill="1" applyAlignment="1">
      <alignment horizontal="center" vertical="center"/>
    </xf>
    <xf numFmtId="2" fontId="5" fillId="2" borderId="0" xfId="0" applyNumberFormat="1" applyFont="1" applyFill="1" applyAlignment="1">
      <alignment vertical="center"/>
    </xf>
    <xf numFmtId="1" fontId="35" fillId="2" borderId="0" xfId="0" applyNumberFormat="1" applyFont="1" applyFill="1" applyAlignment="1">
      <alignment horizontal="left" vertical="center"/>
    </xf>
    <xf numFmtId="165" fontId="35" fillId="4" borderId="0" xfId="0" applyNumberFormat="1" applyFont="1" applyFill="1"/>
    <xf numFmtId="2" fontId="35" fillId="4" borderId="0" xfId="0" applyNumberFormat="1" applyFont="1" applyFill="1"/>
    <xf numFmtId="1" fontId="47" fillId="0" borderId="0" xfId="0" applyNumberFormat="1" applyFont="1" applyAlignment="1">
      <alignment horizontal="left" vertical="center"/>
    </xf>
    <xf numFmtId="171" fontId="35" fillId="0" borderId="0" xfId="2" applyNumberFormat="1" applyFont="1"/>
    <xf numFmtId="165" fontId="12" fillId="2" borderId="0" xfId="0" applyNumberFormat="1" applyFont="1" applyFill="1"/>
    <xf numFmtId="164" fontId="12" fillId="2" borderId="0" xfId="1" applyNumberFormat="1" applyFont="1" applyFill="1"/>
    <xf numFmtId="1" fontId="25" fillId="2" borderId="0" xfId="0" applyNumberFormat="1" applyFont="1" applyFill="1" applyAlignment="1">
      <alignment horizontal="center" vertical="center"/>
    </xf>
    <xf numFmtId="1" fontId="48" fillId="2" borderId="0" xfId="0" applyNumberFormat="1" applyFont="1" applyFill="1"/>
    <xf numFmtId="0" fontId="8" fillId="13" borderId="0" xfId="0" applyFont="1" applyFill="1" applyAlignment="1">
      <alignment vertical="center"/>
    </xf>
    <xf numFmtId="0" fontId="42" fillId="13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1" fontId="47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1" fontId="24" fillId="2" borderId="0" xfId="0" applyNumberFormat="1" applyFont="1" applyFill="1" applyAlignment="1">
      <alignment vertical="center"/>
    </xf>
    <xf numFmtId="0" fontId="50" fillId="2" borderId="0" xfId="0" applyFont="1" applyFill="1" applyAlignment="1">
      <alignment vertical="center"/>
    </xf>
    <xf numFmtId="1" fontId="22" fillId="2" borderId="0" xfId="0" applyNumberFormat="1" applyFont="1" applyFill="1" applyAlignment="1">
      <alignment vertical="center"/>
    </xf>
    <xf numFmtId="0" fontId="47" fillId="2" borderId="0" xfId="0" applyFont="1" applyFill="1" applyAlignment="1">
      <alignment vertical="center"/>
    </xf>
    <xf numFmtId="1" fontId="51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42" fillId="14" borderId="0" xfId="0" applyFont="1" applyFill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8" borderId="0" xfId="0" applyFont="1" applyFill="1" applyAlignment="1">
      <alignment wrapText="1"/>
    </xf>
    <xf numFmtId="0" fontId="8" fillId="8" borderId="0" xfId="0" applyFont="1" applyFill="1"/>
    <xf numFmtId="0" fontId="13" fillId="8" borderId="0" xfId="0" applyFont="1" applyFill="1" applyAlignment="1">
      <alignment wrapText="1"/>
    </xf>
    <xf numFmtId="165" fontId="31" fillId="8" borderId="0" xfId="0" applyNumberFormat="1" applyFont="1" applyFill="1" applyAlignment="1">
      <alignment horizontal="center"/>
    </xf>
    <xf numFmtId="0" fontId="5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50" fillId="2" borderId="0" xfId="0" applyFont="1" applyFill="1"/>
    <xf numFmtId="0" fontId="55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left"/>
    </xf>
    <xf numFmtId="0" fontId="6" fillId="2" borderId="0" xfId="0" applyFont="1" applyFill="1" applyAlignment="1">
      <alignment horizontal="left" vertical="center"/>
    </xf>
    <xf numFmtId="1" fontId="6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1" fontId="10" fillId="0" borderId="0" xfId="0" applyNumberFormat="1" applyFont="1" applyAlignment="1">
      <alignment vertical="center" wrapText="1"/>
    </xf>
    <xf numFmtId="0" fontId="56" fillId="2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4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1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2" fontId="27" fillId="2" borderId="0" xfId="0" applyNumberFormat="1" applyFont="1" applyFill="1" applyAlignment="1">
      <alignment horizontal="center" vertical="center"/>
    </xf>
    <xf numFmtId="0" fontId="60" fillId="2" borderId="0" xfId="0" applyFont="1" applyFill="1" applyAlignment="1">
      <alignment vertical="top"/>
    </xf>
    <xf numFmtId="0" fontId="24" fillId="7" borderId="0" xfId="0" applyFont="1" applyFill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0" fontId="10" fillId="7" borderId="0" xfId="0" applyFont="1" applyFill="1" applyAlignment="1">
      <alignment vertical="center"/>
    </xf>
    <xf numFmtId="0" fontId="10" fillId="7" borderId="0" xfId="0" applyFont="1" applyFill="1" applyAlignment="1">
      <alignment horizontal="left" vertical="center"/>
    </xf>
    <xf numFmtId="1" fontId="61" fillId="7" borderId="0" xfId="0" applyNumberFormat="1" applyFont="1" applyFill="1" applyAlignment="1">
      <alignment vertical="center"/>
    </xf>
    <xf numFmtId="0" fontId="12" fillId="7" borderId="0" xfId="0" applyFont="1" applyFill="1" applyAlignment="1">
      <alignment vertical="center"/>
    </xf>
    <xf numFmtId="0" fontId="62" fillId="7" borderId="0" xfId="0" applyFont="1" applyFill="1" applyAlignment="1">
      <alignment horizontal="center" vertical="center"/>
    </xf>
    <xf numFmtId="167" fontId="61" fillId="7" borderId="0" xfId="0" applyNumberFormat="1" applyFont="1" applyFill="1" applyAlignment="1">
      <alignment vertical="center"/>
    </xf>
    <xf numFmtId="0" fontId="63" fillId="7" borderId="0" xfId="0" applyFont="1" applyFill="1" applyAlignment="1">
      <alignment vertical="center"/>
    </xf>
    <xf numFmtId="0" fontId="25" fillId="7" borderId="0" xfId="0" applyFont="1" applyFill="1" applyAlignment="1">
      <alignment horizontal="left" vertical="center" wrapText="1"/>
    </xf>
    <xf numFmtId="1" fontId="63" fillId="7" borderId="0" xfId="0" applyNumberFormat="1" applyFont="1" applyFill="1" applyAlignment="1">
      <alignment vertical="center"/>
    </xf>
    <xf numFmtId="1" fontId="25" fillId="7" borderId="0" xfId="0" applyNumberFormat="1" applyFont="1" applyFill="1" applyAlignment="1">
      <alignment vertical="center"/>
    </xf>
    <xf numFmtId="49" fontId="25" fillId="2" borderId="0" xfId="0" applyNumberFormat="1" applyFont="1" applyFill="1" applyAlignment="1">
      <alignment horizontal="left" vertical="center"/>
    </xf>
    <xf numFmtId="165" fontId="63" fillId="2" borderId="0" xfId="0" applyNumberFormat="1" applyFont="1" applyFill="1" applyAlignment="1">
      <alignment vertical="center"/>
    </xf>
    <xf numFmtId="0" fontId="62" fillId="2" borderId="0" xfId="0" applyFont="1" applyFill="1" applyAlignment="1">
      <alignment horizontal="center" vertical="center"/>
    </xf>
    <xf numFmtId="2" fontId="62" fillId="2" borderId="0" xfId="0" applyNumberFormat="1" applyFont="1" applyFill="1" applyAlignment="1">
      <alignment horizontal="center" vertical="center"/>
    </xf>
    <xf numFmtId="2" fontId="64" fillId="2" borderId="0" xfId="1" applyNumberFormat="1" applyFont="1" applyFill="1" applyBorder="1" applyAlignment="1">
      <alignment horizontal="center" vertical="center"/>
    </xf>
    <xf numFmtId="2" fontId="61" fillId="2" borderId="0" xfId="0" applyNumberFormat="1" applyFont="1" applyFill="1" applyAlignment="1">
      <alignment vertical="center"/>
    </xf>
    <xf numFmtId="2" fontId="61" fillId="2" borderId="0" xfId="1" applyNumberFormat="1" applyFont="1" applyFill="1" applyAlignment="1">
      <alignment vertical="center"/>
    </xf>
    <xf numFmtId="1" fontId="61" fillId="2" borderId="0" xfId="0" applyNumberFormat="1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1" fontId="24" fillId="2" borderId="0" xfId="0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1" fontId="12" fillId="0" borderId="0" xfId="0" applyNumberFormat="1" applyFont="1" applyAlignment="1">
      <alignment vertical="center"/>
    </xf>
    <xf numFmtId="1" fontId="36" fillId="2" borderId="0" xfId="0" applyNumberFormat="1" applyFont="1" applyFill="1" applyAlignment="1">
      <alignment horizontal="center" vertical="center"/>
    </xf>
    <xf numFmtId="1" fontId="22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165" fontId="10" fillId="0" borderId="0" xfId="0" applyNumberFormat="1" applyFont="1" applyAlignment="1">
      <alignment vertical="center"/>
    </xf>
    <xf numFmtId="0" fontId="5" fillId="2" borderId="0" xfId="0" applyFont="1" applyFill="1" applyAlignment="1">
      <alignment vertical="center"/>
    </xf>
    <xf numFmtId="1" fontId="25" fillId="0" borderId="0" xfId="0" applyNumberFormat="1" applyFont="1" applyAlignment="1">
      <alignment vertical="center" wrapText="1"/>
    </xf>
    <xf numFmtId="1" fontId="25" fillId="2" borderId="0" xfId="0" applyNumberFormat="1" applyFont="1" applyFill="1" applyAlignment="1">
      <alignment vertical="center" wrapText="1"/>
    </xf>
    <xf numFmtId="0" fontId="8" fillId="8" borderId="0" xfId="0" applyFont="1" applyFill="1" applyAlignment="1">
      <alignment horizontal="center"/>
    </xf>
    <xf numFmtId="0" fontId="8" fillId="8" borderId="0" xfId="0" applyFont="1" applyFill="1" applyAlignment="1">
      <alignment horizontal="center" vertical="center"/>
    </xf>
    <xf numFmtId="0" fontId="70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" fontId="35" fillId="16" borderId="0" xfId="0" applyNumberFormat="1" applyFont="1" applyFill="1"/>
    <xf numFmtId="1" fontId="25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right"/>
    </xf>
    <xf numFmtId="1" fontId="45" fillId="0" borderId="0" xfId="0" applyNumberFormat="1" applyFont="1" applyAlignment="1">
      <alignment horizontal="right"/>
    </xf>
    <xf numFmtId="1" fontId="45" fillId="4" borderId="0" xfId="0" applyNumberFormat="1" applyFont="1" applyFill="1" applyAlignment="1">
      <alignment horizontal="right"/>
    </xf>
    <xf numFmtId="1" fontId="42" fillId="2" borderId="0" xfId="0" applyNumberFormat="1" applyFont="1" applyFill="1" applyAlignment="1">
      <alignment vertical="center"/>
    </xf>
    <xf numFmtId="165" fontId="45" fillId="0" borderId="0" xfId="0" applyNumberFormat="1" applyFont="1" applyAlignment="1">
      <alignment horizontal="right"/>
    </xf>
    <xf numFmtId="2" fontId="45" fillId="0" borderId="0" xfId="0" applyNumberFormat="1" applyFont="1" applyAlignment="1">
      <alignment horizontal="right"/>
    </xf>
    <xf numFmtId="0" fontId="41" fillId="11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8" fillId="12" borderId="0" xfId="0" applyFont="1" applyFill="1" applyAlignment="1">
      <alignment horizontal="center" vertical="center" wrapText="1"/>
    </xf>
    <xf numFmtId="0" fontId="31" fillId="12" borderId="0" xfId="0" applyFont="1" applyFill="1" applyAlignment="1">
      <alignment horizontal="center" vertical="center" wrapText="1"/>
    </xf>
    <xf numFmtId="0" fontId="7" fillId="13" borderId="0" xfId="0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/>
    </xf>
    <xf numFmtId="0" fontId="31" fillId="13" borderId="0" xfId="0" applyFont="1" applyFill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50" fillId="14" borderId="0" xfId="0" applyFont="1" applyFill="1" applyAlignment="1">
      <alignment vertical="center"/>
    </xf>
    <xf numFmtId="0" fontId="5" fillId="8" borderId="0" xfId="0" applyFont="1" applyFill="1" applyAlignment="1">
      <alignment horizontal="left"/>
    </xf>
    <xf numFmtId="165" fontId="10" fillId="0" borderId="0" xfId="1" applyNumberFormat="1" applyFont="1"/>
    <xf numFmtId="1" fontId="10" fillId="0" borderId="0" xfId="1" applyNumberFormat="1" applyFont="1"/>
    <xf numFmtId="1" fontId="25" fillId="0" borderId="0" xfId="1" applyNumberFormat="1" applyFont="1"/>
    <xf numFmtId="0" fontId="5" fillId="8" borderId="0" xfId="0" applyFont="1" applyFill="1" applyAlignment="1">
      <alignment horizontal="center" vertical="center"/>
    </xf>
    <xf numFmtId="0" fontId="53" fillId="8" borderId="0" xfId="0" applyFont="1" applyFill="1" applyAlignment="1">
      <alignment horizontal="center" vertical="center" wrapText="1"/>
    </xf>
    <xf numFmtId="0" fontId="50" fillId="8" borderId="0" xfId="0" applyFont="1" applyFill="1" applyAlignment="1">
      <alignment horizontal="center" vertical="center"/>
    </xf>
    <xf numFmtId="0" fontId="15" fillId="12" borderId="0" xfId="0" applyFont="1" applyFill="1" applyAlignment="1">
      <alignment vertical="top"/>
    </xf>
    <xf numFmtId="0" fontId="54" fillId="2" borderId="0" xfId="0" applyFont="1" applyFill="1" applyAlignment="1">
      <alignment vertical="center"/>
    </xf>
    <xf numFmtId="0" fontId="5" fillId="2" borderId="1" xfId="0" applyFont="1" applyFill="1" applyBorder="1"/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49" fontId="25" fillId="2" borderId="0" xfId="0" applyNumberFormat="1" applyFont="1" applyFill="1" applyAlignment="1">
      <alignment vertical="center"/>
    </xf>
    <xf numFmtId="0" fontId="19" fillId="2" borderId="8" xfId="0" applyFont="1" applyFill="1" applyBorder="1"/>
    <xf numFmtId="165" fontId="12" fillId="2" borderId="0" xfId="0" applyNumberFormat="1" applyFont="1" applyFill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165" fontId="12" fillId="2" borderId="8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64" fontId="12" fillId="2" borderId="0" xfId="1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164" fontId="12" fillId="2" borderId="0" xfId="1" applyNumberFormat="1" applyFont="1" applyFill="1" applyAlignment="1">
      <alignment horizontal="center" vertical="center"/>
    </xf>
    <xf numFmtId="164" fontId="11" fillId="2" borderId="0" xfId="1" applyNumberFormat="1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165" fontId="11" fillId="2" borderId="0" xfId="0" applyNumberFormat="1" applyFont="1" applyFill="1" applyAlignment="1">
      <alignment horizontal="center" vertical="center"/>
    </xf>
    <xf numFmtId="9" fontId="73" fillId="2" borderId="0" xfId="1" applyFont="1" applyFill="1" applyBorder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9" fontId="11" fillId="2" borderId="0" xfId="1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9" fontId="19" fillId="2" borderId="0" xfId="1" applyFont="1" applyFill="1" applyBorder="1"/>
    <xf numFmtId="9" fontId="19" fillId="2" borderId="0" xfId="0" applyNumberFormat="1" applyFont="1" applyFill="1"/>
    <xf numFmtId="9" fontId="19" fillId="2" borderId="8" xfId="0" applyNumberFormat="1" applyFont="1" applyFill="1" applyBorder="1"/>
    <xf numFmtId="1" fontId="19" fillId="2" borderId="0" xfId="0" applyNumberFormat="1" applyFont="1" applyFill="1"/>
    <xf numFmtId="0" fontId="16" fillId="2" borderId="0" xfId="0" applyFont="1" applyFill="1" applyAlignment="1">
      <alignment horizontal="left" vertical="center"/>
    </xf>
    <xf numFmtId="9" fontId="19" fillId="2" borderId="0" xfId="1" applyFont="1" applyFill="1" applyBorder="1" applyAlignment="1">
      <alignment horizontal="center" vertical="center"/>
    </xf>
    <xf numFmtId="9" fontId="12" fillId="2" borderId="0" xfId="1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/>
    </xf>
    <xf numFmtId="0" fontId="19" fillId="2" borderId="0" xfId="0" applyFont="1" applyFill="1" applyAlignment="1">
      <alignment horizontal="center" vertical="center"/>
    </xf>
    <xf numFmtId="1" fontId="12" fillId="2" borderId="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75" fillId="9" borderId="0" xfId="0" applyFont="1" applyFill="1" applyAlignment="1">
      <alignment vertical="center"/>
    </xf>
    <xf numFmtId="0" fontId="75" fillId="9" borderId="8" xfId="0" applyFont="1" applyFill="1" applyBorder="1" applyAlignment="1">
      <alignment vertical="center"/>
    </xf>
    <xf numFmtId="0" fontId="16" fillId="2" borderId="0" xfId="0" applyFont="1" applyFill="1" applyAlignment="1">
      <alignment horizontal="left"/>
    </xf>
    <xf numFmtId="0" fontId="73" fillId="2" borderId="0" xfId="0" applyFont="1" applyFill="1" applyAlignment="1">
      <alignment horizontal="left"/>
    </xf>
    <xf numFmtId="0" fontId="80" fillId="2" borderId="0" xfId="0" applyFont="1" applyFill="1" applyAlignment="1">
      <alignment vertical="center"/>
    </xf>
    <xf numFmtId="0" fontId="81" fillId="2" borderId="0" xfId="0" applyFont="1" applyFill="1" applyAlignment="1">
      <alignment vertical="center"/>
    </xf>
    <xf numFmtId="164" fontId="19" fillId="2" borderId="0" xfId="1" applyNumberFormat="1" applyFont="1" applyFill="1" applyBorder="1" applyAlignment="1">
      <alignment horizontal="center" vertical="center"/>
    </xf>
    <xf numFmtId="9" fontId="19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top"/>
    </xf>
    <xf numFmtId="0" fontId="8" fillId="12" borderId="0" xfId="0" applyFont="1" applyFill="1" applyAlignment="1">
      <alignment vertical="center"/>
    </xf>
    <xf numFmtId="0" fontId="75" fillId="15" borderId="0" xfId="0" applyFont="1" applyFill="1" applyAlignment="1">
      <alignment vertical="center"/>
    </xf>
    <xf numFmtId="1" fontId="82" fillId="2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left" vertical="top" wrapText="1"/>
    </xf>
    <xf numFmtId="0" fontId="31" fillId="8" borderId="0" xfId="0" applyFont="1" applyFill="1" applyAlignment="1">
      <alignment horizontal="left" vertical="top"/>
    </xf>
    <xf numFmtId="0" fontId="8" fillId="8" borderId="0" xfId="0" applyFont="1" applyFill="1" applyAlignment="1">
      <alignment vertical="top"/>
    </xf>
    <xf numFmtId="0" fontId="29" fillId="12" borderId="0" xfId="0" applyFont="1" applyFill="1" applyAlignment="1">
      <alignment vertical="center"/>
    </xf>
    <xf numFmtId="1" fontId="16" fillId="12" borderId="0" xfId="1" applyNumberFormat="1" applyFont="1" applyFill="1" applyAlignment="1">
      <alignment horizontal="center" vertical="center"/>
    </xf>
    <xf numFmtId="0" fontId="39" fillId="11" borderId="0" xfId="0" applyFont="1" applyFill="1" applyAlignment="1">
      <alignment vertical="center"/>
    </xf>
    <xf numFmtId="0" fontId="29" fillId="10" borderId="0" xfId="0" applyFont="1" applyFill="1" applyAlignment="1">
      <alignment vertical="center"/>
    </xf>
    <xf numFmtId="1" fontId="16" fillId="10" borderId="0" xfId="1" applyNumberFormat="1" applyFont="1" applyFill="1" applyAlignment="1">
      <alignment horizontal="center" vertical="center"/>
    </xf>
    <xf numFmtId="0" fontId="29" fillId="8" borderId="0" xfId="0" applyFont="1" applyFill="1"/>
    <xf numFmtId="0" fontId="6" fillId="8" borderId="0" xfId="0" applyFont="1" applyFill="1"/>
    <xf numFmtId="165" fontId="31" fillId="8" borderId="0" xfId="0" applyNumberFormat="1" applyFont="1" applyFill="1"/>
    <xf numFmtId="1" fontId="31" fillId="8" borderId="0" xfId="0" applyNumberFormat="1" applyFont="1" applyFill="1"/>
    <xf numFmtId="0" fontId="31" fillId="8" borderId="0" xfId="0" applyFont="1" applyFill="1"/>
    <xf numFmtId="0" fontId="50" fillId="8" borderId="0" xfId="0" applyFont="1" applyFill="1"/>
    <xf numFmtId="0" fontId="5" fillId="14" borderId="0" xfId="0" applyFont="1" applyFill="1" applyAlignment="1">
      <alignment horizontal="left"/>
    </xf>
    <xf numFmtId="0" fontId="6" fillId="14" borderId="0" xfId="0" applyFont="1" applyFill="1"/>
    <xf numFmtId="0" fontId="7" fillId="14" borderId="0" xfId="0" applyFont="1" applyFill="1" applyAlignment="1">
      <alignment horizontal="left"/>
    </xf>
    <xf numFmtId="0" fontId="8" fillId="14" borderId="0" xfId="0" applyFont="1" applyFill="1"/>
    <xf numFmtId="0" fontId="8" fillId="14" borderId="0" xfId="0" applyFont="1" applyFill="1" applyAlignment="1">
      <alignment horizontal="left"/>
    </xf>
    <xf numFmtId="0" fontId="42" fillId="14" borderId="0" xfId="0" applyFont="1" applyFill="1" applyAlignment="1">
      <alignment horizontal="center"/>
    </xf>
    <xf numFmtId="165" fontId="31" fillId="14" borderId="0" xfId="0" applyNumberFormat="1" applyFont="1" applyFill="1" applyAlignment="1">
      <alignment horizontal="center"/>
    </xf>
    <xf numFmtId="165" fontId="31" fillId="14" borderId="0" xfId="0" applyNumberFormat="1" applyFont="1" applyFill="1"/>
    <xf numFmtId="1" fontId="31" fillId="14" borderId="0" xfId="0" applyNumberFormat="1" applyFont="1" applyFill="1"/>
    <xf numFmtId="0" fontId="31" fillId="14" borderId="0" xfId="0" applyFont="1" applyFill="1"/>
    <xf numFmtId="0" fontId="50" fillId="14" borderId="0" xfId="0" applyFont="1" applyFill="1"/>
    <xf numFmtId="0" fontId="7" fillId="13" borderId="0" xfId="0" applyFont="1" applyFill="1" applyAlignment="1">
      <alignment horizontal="left"/>
    </xf>
    <xf numFmtId="0" fontId="8" fillId="13" borderId="0" xfId="0" applyFont="1" applyFill="1"/>
    <xf numFmtId="0" fontId="8" fillId="13" borderId="0" xfId="0" applyFont="1" applyFill="1" applyAlignment="1">
      <alignment horizontal="left"/>
    </xf>
    <xf numFmtId="0" fontId="42" fillId="13" borderId="0" xfId="0" applyFont="1" applyFill="1" applyAlignment="1">
      <alignment horizontal="center"/>
    </xf>
    <xf numFmtId="165" fontId="31" fillId="13" borderId="0" xfId="0" applyNumberFormat="1" applyFont="1" applyFill="1" applyAlignment="1">
      <alignment horizontal="center"/>
    </xf>
    <xf numFmtId="165" fontId="31" fillId="13" borderId="0" xfId="0" applyNumberFormat="1" applyFont="1" applyFill="1"/>
    <xf numFmtId="1" fontId="31" fillId="13" borderId="0" xfId="0" applyNumberFormat="1" applyFont="1" applyFill="1"/>
    <xf numFmtId="0" fontId="31" fillId="13" borderId="0" xfId="0" applyFont="1" applyFill="1"/>
    <xf numFmtId="0" fontId="5" fillId="12" borderId="0" xfId="0" applyFont="1" applyFill="1" applyAlignment="1">
      <alignment horizontal="left"/>
    </xf>
    <xf numFmtId="0" fontId="7" fillId="12" borderId="0" xfId="0" applyFont="1" applyFill="1" applyAlignment="1">
      <alignment horizontal="left" wrapText="1"/>
    </xf>
    <xf numFmtId="0" fontId="29" fillId="12" borderId="0" xfId="0" applyFont="1" applyFill="1"/>
    <xf numFmtId="0" fontId="8" fillId="12" borderId="0" xfId="0" applyFont="1" applyFill="1" applyAlignment="1">
      <alignment horizontal="left" wrapText="1"/>
    </xf>
    <xf numFmtId="0" fontId="8" fillId="12" borderId="0" xfId="0" applyFont="1" applyFill="1" applyAlignment="1">
      <alignment wrapText="1"/>
    </xf>
    <xf numFmtId="0" fontId="10" fillId="12" borderId="0" xfId="0" applyFont="1" applyFill="1" applyAlignment="1">
      <alignment horizontal="center"/>
    </xf>
    <xf numFmtId="165" fontId="33" fillId="12" borderId="0" xfId="0" applyNumberFormat="1" applyFont="1" applyFill="1" applyAlignment="1">
      <alignment horizontal="center"/>
    </xf>
    <xf numFmtId="165" fontId="33" fillId="12" borderId="0" xfId="0" applyNumberFormat="1" applyFont="1" applyFill="1"/>
    <xf numFmtId="1" fontId="33" fillId="12" borderId="0" xfId="0" applyNumberFormat="1" applyFont="1" applyFill="1"/>
    <xf numFmtId="0" fontId="33" fillId="12" borderId="0" xfId="0" applyFont="1" applyFill="1"/>
    <xf numFmtId="0" fontId="42" fillId="12" borderId="0" xfId="0" applyFont="1" applyFill="1" applyAlignment="1">
      <alignment horizontal="center"/>
    </xf>
    <xf numFmtId="1" fontId="16" fillId="12" borderId="0" xfId="0" applyNumberFormat="1" applyFont="1" applyFill="1"/>
    <xf numFmtId="0" fontId="31" fillId="12" borderId="0" xfId="0" applyFont="1" applyFill="1"/>
    <xf numFmtId="0" fontId="39" fillId="11" borderId="0" xfId="0" applyFont="1" applyFill="1"/>
    <xf numFmtId="0" fontId="41" fillId="11" borderId="0" xfId="0" applyFont="1" applyFill="1"/>
    <xf numFmtId="1" fontId="16" fillId="11" borderId="0" xfId="0" applyNumberFormat="1" applyFont="1" applyFill="1"/>
    <xf numFmtId="0" fontId="31" fillId="11" borderId="0" xfId="0" applyFont="1" applyFill="1"/>
    <xf numFmtId="0" fontId="7" fillId="10" borderId="0" xfId="0" applyFont="1" applyFill="1" applyAlignment="1">
      <alignment horizontal="left"/>
    </xf>
    <xf numFmtId="0" fontId="29" fillId="10" borderId="0" xfId="0" applyFont="1" applyFill="1"/>
    <xf numFmtId="0" fontId="8" fillId="10" borderId="0" xfId="0" applyFont="1" applyFill="1" applyAlignment="1">
      <alignment horizontal="left"/>
    </xf>
    <xf numFmtId="0" fontId="8" fillId="10" borderId="0" xfId="0" applyFont="1" applyFill="1"/>
    <xf numFmtId="9" fontId="10" fillId="10" borderId="0" xfId="1" applyFont="1" applyFill="1" applyAlignment="1">
      <alignment horizontal="center"/>
    </xf>
    <xf numFmtId="1" fontId="16" fillId="10" borderId="0" xfId="0" applyNumberFormat="1" applyFont="1" applyFill="1"/>
    <xf numFmtId="0" fontId="33" fillId="10" borderId="0" xfId="0" applyFont="1" applyFill="1"/>
    <xf numFmtId="0" fontId="7" fillId="10" borderId="0" xfId="0" applyFont="1" applyFill="1" applyAlignment="1">
      <alignment horizontal="center" vertical="center"/>
    </xf>
    <xf numFmtId="1" fontId="16" fillId="10" borderId="0" xfId="0" applyNumberFormat="1" applyFont="1" applyFill="1" applyAlignment="1">
      <alignment horizontal="center" vertical="center"/>
    </xf>
    <xf numFmtId="0" fontId="33" fillId="10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10" fillId="11" borderId="0" xfId="0" applyFont="1" applyFill="1" applyAlignment="1">
      <alignment horizontal="center" vertical="center"/>
    </xf>
    <xf numFmtId="1" fontId="11" fillId="11" borderId="0" xfId="1" applyNumberFormat="1" applyFont="1" applyFill="1" applyAlignment="1">
      <alignment horizontal="center" vertical="center"/>
    </xf>
    <xf numFmtId="1" fontId="11" fillId="11" borderId="0" xfId="0" applyNumberFormat="1" applyFont="1" applyFill="1" applyAlignment="1">
      <alignment horizontal="center" vertical="center"/>
    </xf>
    <xf numFmtId="0" fontId="33" fillId="11" borderId="0" xfId="0" applyFont="1" applyFill="1" applyAlignment="1">
      <alignment horizontal="center" vertical="center"/>
    </xf>
    <xf numFmtId="0" fontId="7" fillId="12" borderId="0" xfId="0" applyFont="1" applyFill="1" applyAlignment="1">
      <alignment horizontal="center" vertical="center" wrapText="1"/>
    </xf>
    <xf numFmtId="1" fontId="16" fillId="12" borderId="0" xfId="0" applyNumberFormat="1" applyFont="1" applyFill="1" applyAlignment="1">
      <alignment horizontal="center" vertical="center"/>
    </xf>
    <xf numFmtId="0" fontId="31" fillId="12" borderId="0" xfId="0" applyFont="1" applyFill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46" fillId="12" borderId="0" xfId="0" applyFont="1" applyFill="1" applyAlignment="1">
      <alignment horizontal="center" vertical="center" wrapText="1"/>
    </xf>
    <xf numFmtId="0" fontId="33" fillId="12" borderId="0" xfId="0" applyFont="1" applyFill="1" applyAlignment="1">
      <alignment horizontal="center" vertical="center"/>
    </xf>
    <xf numFmtId="1" fontId="16" fillId="13" borderId="0" xfId="1" applyNumberFormat="1" applyFont="1" applyFill="1" applyAlignment="1">
      <alignment horizontal="center" vertical="center"/>
    </xf>
    <xf numFmtId="1" fontId="16" fillId="13" borderId="0" xfId="0" applyNumberFormat="1" applyFont="1" applyFill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" fontId="16" fillId="14" borderId="0" xfId="1" applyNumberFormat="1" applyFont="1" applyFill="1" applyAlignment="1">
      <alignment horizontal="center" vertical="center"/>
    </xf>
    <xf numFmtId="1" fontId="16" fillId="14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1" fontId="16" fillId="8" borderId="0" xfId="1" applyNumberFormat="1" applyFont="1" applyFill="1" applyAlignment="1">
      <alignment horizontal="center" vertical="center"/>
    </xf>
    <xf numFmtId="1" fontId="16" fillId="8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horizontal="left" vertical="center"/>
    </xf>
    <xf numFmtId="49" fontId="85" fillId="2" borderId="0" xfId="0" applyNumberFormat="1" applyFont="1" applyFill="1" applyAlignment="1">
      <alignment vertical="center"/>
    </xf>
    <xf numFmtId="49" fontId="85" fillId="2" borderId="0" xfId="0" applyNumberFormat="1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1" fontId="42" fillId="2" borderId="0" xfId="0" applyNumberFormat="1" applyFont="1" applyFill="1" applyAlignment="1">
      <alignment horizontal="left" vertical="center"/>
    </xf>
    <xf numFmtId="165" fontId="42" fillId="2" borderId="0" xfId="0" applyNumberFormat="1" applyFont="1" applyFill="1" applyAlignment="1">
      <alignment vertical="center"/>
    </xf>
    <xf numFmtId="0" fontId="71" fillId="2" borderId="0" xfId="0" applyFont="1" applyFill="1" applyAlignment="1">
      <alignment horizontal="center" vertical="center"/>
    </xf>
    <xf numFmtId="2" fontId="71" fillId="2" borderId="0" xfId="0" applyNumberFormat="1" applyFont="1" applyFill="1" applyAlignment="1">
      <alignment horizontal="center" vertical="center"/>
    </xf>
    <xf numFmtId="2" fontId="86" fillId="2" borderId="0" xfId="1" applyNumberFormat="1" applyFont="1" applyFill="1" applyBorder="1" applyAlignment="1">
      <alignment horizontal="center" vertical="center"/>
    </xf>
    <xf numFmtId="2" fontId="85" fillId="2" borderId="0" xfId="0" applyNumberFormat="1" applyFont="1" applyFill="1" applyAlignment="1">
      <alignment vertical="center"/>
    </xf>
    <xf numFmtId="2" fontId="85" fillId="2" borderId="0" xfId="1" applyNumberFormat="1" applyFont="1" applyFill="1" applyAlignment="1">
      <alignment vertical="center"/>
    </xf>
    <xf numFmtId="1" fontId="85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" fontId="35" fillId="0" borderId="0" xfId="0" applyNumberFormat="1" applyFont="1" applyAlignment="1">
      <alignment horizontal="right"/>
    </xf>
    <xf numFmtId="2" fontId="10" fillId="0" borderId="0" xfId="0" applyNumberFormat="1" applyFont="1" applyAlignment="1">
      <alignment vertical="center"/>
    </xf>
    <xf numFmtId="1" fontId="87" fillId="16" borderId="0" xfId="0" applyNumberFormat="1" applyFont="1" applyFill="1" applyAlignment="1">
      <alignment horizontal="center" vertical="center"/>
    </xf>
    <xf numFmtId="1" fontId="11" fillId="2" borderId="0" xfId="0" applyNumberFormat="1" applyFont="1" applyFill="1"/>
    <xf numFmtId="1" fontId="47" fillId="2" borderId="0" xfId="0" applyNumberFormat="1" applyFont="1" applyFill="1" applyAlignment="1">
      <alignment horizontal="left" vertical="center"/>
    </xf>
    <xf numFmtId="0" fontId="19" fillId="2" borderId="10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" fontId="19" fillId="2" borderId="10" xfId="0" applyNumberFormat="1" applyFont="1" applyFill="1" applyBorder="1" applyAlignment="1">
      <alignment horizontal="center" vertical="center"/>
    </xf>
    <xf numFmtId="1" fontId="47" fillId="2" borderId="0" xfId="0" applyNumberFormat="1" applyFont="1" applyFill="1" applyAlignment="1">
      <alignment vertical="center"/>
    </xf>
    <xf numFmtId="1" fontId="35" fillId="2" borderId="0" xfId="0" applyNumberFormat="1" applyFont="1" applyFill="1" applyAlignment="1">
      <alignment vertical="center"/>
    </xf>
    <xf numFmtId="1" fontId="47" fillId="12" borderId="0" xfId="0" applyNumberFormat="1" applyFont="1" applyFill="1"/>
    <xf numFmtId="1" fontId="47" fillId="12" borderId="0" xfId="0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164" fontId="88" fillId="2" borderId="0" xfId="1" applyNumberFormat="1" applyFont="1" applyFill="1" applyBorder="1" applyAlignment="1">
      <alignment horizontal="center" vertical="center"/>
    </xf>
    <xf numFmtId="9" fontId="88" fillId="2" borderId="0" xfId="1" applyFont="1" applyFill="1" applyBorder="1" applyAlignment="1">
      <alignment horizontal="center" vertical="center"/>
    </xf>
    <xf numFmtId="9" fontId="88" fillId="2" borderId="3" xfId="1" applyFont="1" applyFill="1" applyBorder="1" applyAlignment="1">
      <alignment horizontal="center" vertical="center"/>
    </xf>
    <xf numFmtId="1" fontId="89" fillId="16" borderId="0" xfId="0" applyNumberFormat="1" applyFont="1" applyFill="1"/>
    <xf numFmtId="1" fontId="90" fillId="16" borderId="0" xfId="0" applyNumberFormat="1" applyFont="1" applyFill="1"/>
    <xf numFmtId="1" fontId="48" fillId="16" borderId="0" xfId="0" applyNumberFormat="1" applyFont="1" applyFill="1"/>
    <xf numFmtId="1" fontId="89" fillId="16" borderId="0" xfId="0" applyNumberFormat="1" applyFont="1" applyFill="1" applyAlignment="1">
      <alignment horizontal="center" vertical="center"/>
    </xf>
    <xf numFmtId="165" fontId="91" fillId="4" borderId="0" xfId="0" applyNumberFormat="1" applyFont="1" applyFill="1"/>
    <xf numFmtId="0" fontId="31" fillId="2" borderId="0" xfId="0" applyFont="1" applyFill="1" applyAlignment="1">
      <alignment vertical="top"/>
    </xf>
    <xf numFmtId="0" fontId="31" fillId="2" borderId="0" xfId="0" applyFont="1" applyFill="1"/>
    <xf numFmtId="0" fontId="33" fillId="2" borderId="0" xfId="0" applyFont="1" applyFill="1" applyAlignment="1">
      <alignment vertical="top"/>
    </xf>
    <xf numFmtId="0" fontId="5" fillId="10" borderId="0" xfId="0" applyFont="1" applyFill="1" applyAlignment="1">
      <alignment horizontal="left"/>
    </xf>
    <xf numFmtId="1" fontId="47" fillId="10" borderId="0" xfId="0" applyNumberFormat="1" applyFont="1" applyFill="1"/>
    <xf numFmtId="0" fontId="5" fillId="10" borderId="0" xfId="0" applyFont="1" applyFill="1" applyAlignment="1">
      <alignment horizontal="center" vertical="center"/>
    </xf>
    <xf numFmtId="1" fontId="47" fillId="10" borderId="0" xfId="0" applyNumberFormat="1" applyFont="1" applyFill="1" applyAlignment="1">
      <alignment horizontal="center" vertical="center"/>
    </xf>
    <xf numFmtId="0" fontId="92" fillId="2" borderId="0" xfId="0" applyFont="1" applyFill="1" applyAlignment="1">
      <alignment horizontal="left"/>
    </xf>
    <xf numFmtId="1" fontId="92" fillId="2" borderId="0" xfId="0" applyNumberFormat="1" applyFont="1" applyFill="1" applyAlignment="1">
      <alignment vertical="center"/>
    </xf>
    <xf numFmtId="1" fontId="86" fillId="2" borderId="0" xfId="0" applyNumberFormat="1" applyFont="1" applyFill="1" applyAlignment="1">
      <alignment horizontal="center" vertical="center"/>
    </xf>
    <xf numFmtId="0" fontId="15" fillId="2" borderId="0" xfId="0" applyFont="1" applyFill="1"/>
    <xf numFmtId="1" fontId="42" fillId="2" borderId="0" xfId="0" applyNumberFormat="1" applyFont="1" applyFill="1" applyAlignment="1">
      <alignment horizontal="center" vertical="center"/>
    </xf>
    <xf numFmtId="1" fontId="42" fillId="2" borderId="0" xfId="0" applyNumberFormat="1" applyFont="1" applyFill="1"/>
    <xf numFmtId="1" fontId="93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left"/>
    </xf>
    <xf numFmtId="1" fontId="91" fillId="4" borderId="0" xfId="0" applyNumberFormat="1" applyFont="1" applyFill="1"/>
    <xf numFmtId="1" fontId="50" fillId="2" borderId="0" xfId="0" applyNumberFormat="1" applyFont="1" applyFill="1" applyAlignment="1">
      <alignment vertical="center"/>
    </xf>
    <xf numFmtId="1" fontId="45" fillId="0" borderId="0" xfId="0" applyNumberFormat="1" applyFont="1" applyAlignment="1">
      <alignment vertical="center"/>
    </xf>
    <xf numFmtId="1" fontId="98" fillId="16" borderId="0" xfId="0" applyNumberFormat="1" applyFont="1" applyFill="1" applyAlignment="1">
      <alignment horizontal="center" vertical="center"/>
    </xf>
    <xf numFmtId="165" fontId="35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 vertical="center"/>
    </xf>
    <xf numFmtId="2" fontId="35" fillId="0" borderId="0" xfId="0" applyNumberFormat="1" applyFont="1" applyAlignment="1">
      <alignment horizontal="right"/>
    </xf>
    <xf numFmtId="1" fontId="10" fillId="16" borderId="0" xfId="0" applyNumberFormat="1" applyFont="1" applyFill="1" applyAlignment="1">
      <alignment horizontal="center" vertical="center"/>
    </xf>
    <xf numFmtId="1" fontId="35" fillId="16" borderId="0" xfId="0" applyNumberFormat="1" applyFont="1" applyFill="1" applyAlignment="1">
      <alignment horizontal="center" vertical="center"/>
    </xf>
    <xf numFmtId="1" fontId="25" fillId="16" borderId="0" xfId="0" applyNumberFormat="1" applyFont="1" applyFill="1" applyAlignment="1">
      <alignment horizontal="center" vertical="center"/>
    </xf>
    <xf numFmtId="165" fontId="35" fillId="0" borderId="0" xfId="0" applyNumberFormat="1" applyFont="1" applyAlignment="1">
      <alignment vertical="center"/>
    </xf>
    <xf numFmtId="0" fontId="19" fillId="2" borderId="0" xfId="0" applyFont="1" applyFill="1" applyAlignment="1">
      <alignment horizontal="center"/>
    </xf>
    <xf numFmtId="0" fontId="75" fillId="9" borderId="0" xfId="0" applyFont="1" applyFill="1" applyAlignment="1">
      <alignment horizontal="center" vertical="center"/>
    </xf>
    <xf numFmtId="0" fontId="75" fillId="21" borderId="0" xfId="0" applyFont="1" applyFill="1" applyAlignment="1">
      <alignment vertical="center"/>
    </xf>
    <xf numFmtId="0" fontId="19" fillId="21" borderId="8" xfId="0" applyFont="1" applyFill="1" applyBorder="1"/>
    <xf numFmtId="1" fontId="23" fillId="2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1" fontId="85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9" fontId="19" fillId="2" borderId="0" xfId="1" applyFont="1" applyFill="1"/>
    <xf numFmtId="9" fontId="12" fillId="2" borderId="0" xfId="1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00" fillId="5" borderId="9" xfId="0" applyFont="1" applyFill="1" applyBorder="1" applyAlignment="1">
      <alignment vertical="center" wrapText="1"/>
    </xf>
    <xf numFmtId="0" fontId="100" fillId="5" borderId="0" xfId="0" applyFont="1" applyFill="1" applyAlignment="1">
      <alignment vertical="center" wrapText="1"/>
    </xf>
    <xf numFmtId="9" fontId="5" fillId="2" borderId="0" xfId="1" applyFont="1" applyFill="1" applyAlignment="1">
      <alignment vertical="center"/>
    </xf>
    <xf numFmtId="0" fontId="8" fillId="25" borderId="0" xfId="0" applyFont="1" applyFill="1" applyAlignment="1">
      <alignment wrapText="1"/>
    </xf>
    <xf numFmtId="0" fontId="8" fillId="25" borderId="0" xfId="0" applyFont="1" applyFill="1"/>
    <xf numFmtId="0" fontId="8" fillId="25" borderId="8" xfId="0" applyFont="1" applyFill="1" applyBorder="1" applyAlignment="1">
      <alignment wrapText="1"/>
    </xf>
    <xf numFmtId="0" fontId="8" fillId="25" borderId="0" xfId="0" applyFont="1" applyFill="1" applyAlignment="1">
      <alignment horizontal="center" wrapText="1"/>
    </xf>
    <xf numFmtId="0" fontId="8" fillId="25" borderId="0" xfId="0" applyFont="1" applyFill="1" applyAlignment="1">
      <alignment horizontal="center"/>
    </xf>
    <xf numFmtId="0" fontId="13" fillId="25" borderId="0" xfId="0" applyFont="1" applyFill="1" applyAlignment="1">
      <alignment vertical="top" wrapText="1"/>
    </xf>
    <xf numFmtId="0" fontId="13" fillId="25" borderId="8" xfId="0" applyFont="1" applyFill="1" applyBorder="1" applyAlignment="1">
      <alignment vertical="top" wrapText="1"/>
    </xf>
    <xf numFmtId="0" fontId="13" fillId="25" borderId="0" xfId="0" applyFont="1" applyFill="1" applyAlignment="1">
      <alignment horizontal="center" vertical="top" wrapText="1"/>
    </xf>
    <xf numFmtId="0" fontId="8" fillId="25" borderId="0" xfId="0" applyFont="1" applyFill="1" applyAlignment="1">
      <alignment horizontal="center" vertical="top"/>
    </xf>
    <xf numFmtId="0" fontId="8" fillId="25" borderId="0" xfId="0" applyFont="1" applyFill="1" applyAlignment="1">
      <alignment vertical="top"/>
    </xf>
    <xf numFmtId="0" fontId="104" fillId="16" borderId="0" xfId="0" applyFont="1" applyFill="1" applyAlignment="1">
      <alignment horizontal="left" vertical="center"/>
    </xf>
    <xf numFmtId="1" fontId="103" fillId="29" borderId="0" xfId="0" applyNumberFormat="1" applyFont="1" applyFill="1" applyAlignment="1">
      <alignment vertical="center"/>
    </xf>
    <xf numFmtId="9" fontId="103" fillId="29" borderId="0" xfId="1" applyFont="1" applyFill="1" applyBorder="1" applyAlignment="1">
      <alignment horizontal="center" vertical="center"/>
    </xf>
    <xf numFmtId="164" fontId="102" fillId="2" borderId="3" xfId="1" applyNumberFormat="1" applyFont="1" applyFill="1" applyBorder="1" applyAlignment="1">
      <alignment horizontal="center" vertical="center"/>
    </xf>
    <xf numFmtId="1" fontId="103" fillId="29" borderId="0" xfId="0" applyNumberFormat="1" applyFont="1" applyFill="1" applyAlignment="1">
      <alignment horizontal="center" vertical="center"/>
    </xf>
    <xf numFmtId="1" fontId="103" fillId="29" borderId="0" xfId="1" applyNumberFormat="1" applyFont="1" applyFill="1" applyBorder="1" applyAlignment="1">
      <alignment horizontal="center" vertical="center"/>
    </xf>
    <xf numFmtId="1" fontId="102" fillId="2" borderId="3" xfId="0" applyNumberFormat="1" applyFont="1" applyFill="1" applyBorder="1" applyAlignment="1">
      <alignment horizontal="center" vertical="center"/>
    </xf>
    <xf numFmtId="164" fontId="103" fillId="29" borderId="11" xfId="0" applyNumberFormat="1" applyFont="1" applyFill="1" applyBorder="1" applyAlignment="1">
      <alignment vertical="center"/>
    </xf>
    <xf numFmtId="9" fontId="103" fillId="29" borderId="11" xfId="1" applyFont="1" applyFill="1" applyBorder="1" applyAlignment="1">
      <alignment horizontal="center" vertical="center"/>
    </xf>
    <xf numFmtId="164" fontId="102" fillId="2" borderId="12" xfId="1" applyNumberFormat="1" applyFont="1" applyFill="1" applyBorder="1" applyAlignment="1">
      <alignment horizontal="center" vertical="center"/>
    </xf>
    <xf numFmtId="165" fontId="103" fillId="29" borderId="0" xfId="0" applyNumberFormat="1" applyFont="1" applyFill="1" applyAlignment="1">
      <alignment vertical="center"/>
    </xf>
    <xf numFmtId="1" fontId="102" fillId="2" borderId="3" xfId="1" applyNumberFormat="1" applyFont="1" applyFill="1" applyBorder="1" applyAlignment="1">
      <alignment horizontal="center" vertical="center"/>
    </xf>
    <xf numFmtId="1" fontId="103" fillId="28" borderId="15" xfId="0" applyNumberFormat="1" applyFont="1" applyFill="1" applyBorder="1" applyAlignment="1">
      <alignment horizontal="center" vertical="center"/>
    </xf>
    <xf numFmtId="1" fontId="103" fillId="28" borderId="15" xfId="1" applyNumberFormat="1" applyFont="1" applyFill="1" applyBorder="1" applyAlignment="1">
      <alignment horizontal="center" vertical="center"/>
    </xf>
    <xf numFmtId="9" fontId="103" fillId="28" borderId="16" xfId="1" applyFont="1" applyFill="1" applyBorder="1" applyAlignment="1">
      <alignment horizontal="center" vertical="center"/>
    </xf>
    <xf numFmtId="1" fontId="103" fillId="30" borderId="18" xfId="0" applyNumberFormat="1" applyFont="1" applyFill="1" applyBorder="1" applyAlignment="1">
      <alignment horizontal="center" vertical="center"/>
    </xf>
    <xf numFmtId="0" fontId="85" fillId="22" borderId="11" xfId="0" applyFont="1" applyFill="1" applyBorder="1" applyAlignment="1">
      <alignment horizontal="left" vertical="center" wrapText="1"/>
    </xf>
    <xf numFmtId="49" fontId="42" fillId="22" borderId="11" xfId="0" applyNumberFormat="1" applyFont="1" applyFill="1" applyBorder="1" applyAlignment="1">
      <alignment horizontal="left" vertical="center" wrapText="1"/>
    </xf>
    <xf numFmtId="0" fontId="85" fillId="24" borderId="14" xfId="0" applyFont="1" applyFill="1" applyBorder="1" applyAlignment="1">
      <alignment horizontal="left" vertical="center" wrapText="1"/>
    </xf>
    <xf numFmtId="0" fontId="85" fillId="26" borderId="20" xfId="0" applyFont="1" applyFill="1" applyBorder="1" applyAlignment="1">
      <alignment horizontal="left" vertical="center" wrapText="1"/>
    </xf>
    <xf numFmtId="0" fontId="94" fillId="2" borderId="12" xfId="0" applyFont="1" applyFill="1" applyBorder="1" applyAlignment="1">
      <alignment horizontal="left" vertical="center" wrapText="1"/>
    </xf>
    <xf numFmtId="0" fontId="50" fillId="16" borderId="21" xfId="0" applyFont="1" applyFill="1" applyBorder="1" applyAlignment="1">
      <alignment horizontal="left" vertical="center" wrapText="1"/>
    </xf>
    <xf numFmtId="1" fontId="103" fillId="16" borderId="22" xfId="0" applyNumberFormat="1" applyFont="1" applyFill="1" applyBorder="1" applyAlignment="1">
      <alignment horizontal="center" vertical="center"/>
    </xf>
    <xf numFmtId="165" fontId="103" fillId="16" borderId="22" xfId="1" applyNumberFormat="1" applyFont="1" applyFill="1" applyBorder="1" applyAlignment="1">
      <alignment horizontal="center" vertical="center"/>
    </xf>
    <xf numFmtId="165" fontId="103" fillId="16" borderId="22" xfId="0" applyNumberFormat="1" applyFont="1" applyFill="1" applyBorder="1" applyAlignment="1">
      <alignment horizontal="center" vertical="center"/>
    </xf>
    <xf numFmtId="9" fontId="103" fillId="16" borderId="23" xfId="1" applyFont="1" applyFill="1" applyBorder="1" applyAlignment="1">
      <alignment horizontal="center" vertical="center"/>
    </xf>
    <xf numFmtId="0" fontId="103" fillId="29" borderId="24" xfId="0" applyFont="1" applyFill="1" applyBorder="1" applyAlignment="1">
      <alignment vertical="center"/>
    </xf>
    <xf numFmtId="9" fontId="103" fillId="29" borderId="24" xfId="1" applyFont="1" applyFill="1" applyBorder="1" applyAlignment="1">
      <alignment horizontal="center" vertical="center"/>
    </xf>
    <xf numFmtId="9" fontId="103" fillId="30" borderId="26" xfId="1" applyFont="1" applyFill="1" applyBorder="1" applyAlignment="1">
      <alignment horizontal="center" vertical="center"/>
    </xf>
    <xf numFmtId="9" fontId="103" fillId="28" borderId="27" xfId="1" applyFont="1" applyFill="1" applyBorder="1" applyAlignment="1">
      <alignment horizontal="center" vertical="center"/>
    </xf>
    <xf numFmtId="10" fontId="103" fillId="16" borderId="28" xfId="1" applyNumberFormat="1" applyFont="1" applyFill="1" applyBorder="1" applyAlignment="1">
      <alignment horizontal="center" vertical="center"/>
    </xf>
    <xf numFmtId="9" fontId="102" fillId="2" borderId="29" xfId="1" applyFont="1" applyFill="1" applyBorder="1" applyAlignment="1">
      <alignment horizontal="center" vertical="center"/>
    </xf>
    <xf numFmtId="164" fontId="103" fillId="29" borderId="24" xfId="1" applyNumberFormat="1" applyFont="1" applyFill="1" applyBorder="1" applyAlignment="1">
      <alignment horizontal="center" vertical="center"/>
    </xf>
    <xf numFmtId="164" fontId="103" fillId="28" borderId="27" xfId="1" applyNumberFormat="1" applyFont="1" applyFill="1" applyBorder="1" applyAlignment="1">
      <alignment horizontal="center" vertical="center"/>
    </xf>
    <xf numFmtId="164" fontId="103" fillId="16" borderId="28" xfId="1" applyNumberFormat="1" applyFont="1" applyFill="1" applyBorder="1" applyAlignment="1">
      <alignment horizontal="center" vertical="center"/>
    </xf>
    <xf numFmtId="164" fontId="102" fillId="2" borderId="29" xfId="1" applyNumberFormat="1" applyFont="1" applyFill="1" applyBorder="1" applyAlignment="1">
      <alignment horizontal="center" vertical="center"/>
    </xf>
    <xf numFmtId="0" fontId="41" fillId="22" borderId="0" xfId="0" applyFont="1" applyFill="1"/>
    <xf numFmtId="0" fontId="41" fillId="22" borderId="8" xfId="0" applyFont="1" applyFill="1" applyBorder="1"/>
    <xf numFmtId="0" fontId="41" fillId="22" borderId="0" xfId="0" applyFont="1" applyFill="1" applyAlignment="1">
      <alignment horizontal="center"/>
    </xf>
    <xf numFmtId="0" fontId="41" fillId="22" borderId="0" xfId="0" applyFont="1" applyFill="1" applyAlignment="1">
      <alignment vertical="top"/>
    </xf>
    <xf numFmtId="0" fontId="76" fillId="22" borderId="0" xfId="0" applyFont="1" applyFill="1" applyAlignment="1">
      <alignment vertical="top"/>
    </xf>
    <xf numFmtId="0" fontId="76" fillId="22" borderId="0" xfId="0" applyFont="1" applyFill="1" applyAlignment="1">
      <alignment vertical="top" wrapText="1"/>
    </xf>
    <xf numFmtId="0" fontId="76" fillId="22" borderId="8" xfId="0" applyFont="1" applyFill="1" applyBorder="1" applyAlignment="1">
      <alignment vertical="top" wrapText="1"/>
    </xf>
    <xf numFmtId="0" fontId="106" fillId="27" borderId="13" xfId="0" applyFont="1" applyFill="1" applyBorder="1" applyAlignment="1">
      <alignment horizontal="center" vertical="center"/>
    </xf>
    <xf numFmtId="0" fontId="106" fillId="27" borderId="25" xfId="0" applyFont="1" applyFill="1" applyBorder="1" applyAlignment="1">
      <alignment horizontal="center" vertical="center"/>
    </xf>
    <xf numFmtId="0" fontId="106" fillId="27" borderId="17" xfId="0" applyFont="1" applyFill="1" applyBorder="1" applyAlignment="1">
      <alignment horizontal="center" vertical="center"/>
    </xf>
    <xf numFmtId="0" fontId="106" fillId="27" borderId="32" xfId="0" applyFont="1" applyFill="1" applyBorder="1" applyAlignment="1">
      <alignment horizontal="center" vertical="center"/>
    </xf>
    <xf numFmtId="165" fontId="12" fillId="2" borderId="0" xfId="0" applyNumberFormat="1" applyFont="1" applyFill="1" applyAlignment="1">
      <alignment horizontal="center"/>
    </xf>
    <xf numFmtId="164" fontId="12" fillId="2" borderId="0" xfId="0" applyNumberFormat="1" applyFont="1" applyFill="1" applyAlignment="1">
      <alignment horizontal="center"/>
    </xf>
    <xf numFmtId="165" fontId="12" fillId="2" borderId="8" xfId="0" applyNumberFormat="1" applyFont="1" applyFill="1" applyBorder="1" applyAlignment="1">
      <alignment horizontal="center"/>
    </xf>
    <xf numFmtId="0" fontId="6" fillId="2" borderId="0" xfId="0" applyFont="1" applyFill="1" applyAlignment="1">
      <alignment vertical="top"/>
    </xf>
    <xf numFmtId="49" fontId="42" fillId="22" borderId="11" xfId="0" applyNumberFormat="1" applyFont="1" applyFill="1" applyBorder="1" applyAlignment="1">
      <alignment horizontal="left" vertical="top" wrapText="1"/>
    </xf>
    <xf numFmtId="1" fontId="103" fillId="29" borderId="0" xfId="0" applyNumberFormat="1" applyFont="1" applyFill="1" applyAlignment="1">
      <alignment horizontal="center" vertical="top"/>
    </xf>
    <xf numFmtId="1" fontId="103" fillId="29" borderId="24" xfId="0" applyNumberFormat="1" applyFont="1" applyFill="1" applyBorder="1" applyAlignment="1">
      <alignment horizontal="center" vertical="top"/>
    </xf>
    <xf numFmtId="164" fontId="103" fillId="29" borderId="11" xfId="1" applyNumberFormat="1" applyFont="1" applyFill="1" applyBorder="1" applyAlignment="1">
      <alignment horizontal="center" vertical="top"/>
    </xf>
    <xf numFmtId="1" fontId="103" fillId="29" borderId="0" xfId="1" applyNumberFormat="1" applyFont="1" applyFill="1" applyBorder="1" applyAlignment="1">
      <alignment horizontal="center" vertical="top"/>
    </xf>
    <xf numFmtId="9" fontId="103" fillId="29" borderId="0" xfId="1" applyFont="1" applyFill="1" applyBorder="1" applyAlignment="1">
      <alignment horizontal="center" vertical="top"/>
    </xf>
    <xf numFmtId="0" fontId="12" fillId="2" borderId="0" xfId="0" applyFont="1" applyFill="1" applyAlignment="1">
      <alignment horizontal="center" vertical="top"/>
    </xf>
    <xf numFmtId="0" fontId="12" fillId="2" borderId="8" xfId="0" applyFont="1" applyFill="1" applyBorder="1" applyAlignment="1">
      <alignment horizontal="center" vertical="top"/>
    </xf>
    <xf numFmtId="164" fontId="12" fillId="2" borderId="0" xfId="1" applyNumberFormat="1" applyFont="1" applyFill="1" applyAlignment="1">
      <alignment horizontal="center" vertical="top"/>
    </xf>
    <xf numFmtId="0" fontId="111" fillId="23" borderId="13" xfId="0" applyFont="1" applyFill="1" applyBorder="1" applyAlignment="1">
      <alignment horizontal="center" vertical="center"/>
    </xf>
    <xf numFmtId="0" fontId="111" fillId="23" borderId="17" xfId="0" applyFont="1" applyFill="1" applyBorder="1" applyAlignment="1">
      <alignment horizontal="center" vertical="center"/>
    </xf>
    <xf numFmtId="0" fontId="111" fillId="23" borderId="42" xfId="0" applyFont="1" applyFill="1" applyBorder="1" applyAlignment="1">
      <alignment horizontal="center" vertical="center"/>
    </xf>
    <xf numFmtId="0" fontId="75" fillId="27" borderId="0" xfId="0" applyFont="1" applyFill="1" applyAlignment="1">
      <alignment vertical="center"/>
    </xf>
    <xf numFmtId="0" fontId="75" fillId="27" borderId="8" xfId="0" applyFont="1" applyFill="1" applyBorder="1" applyAlignment="1">
      <alignment vertical="center"/>
    </xf>
    <xf numFmtId="0" fontId="75" fillId="27" borderId="0" xfId="0" applyFont="1" applyFill="1" applyAlignment="1">
      <alignment horizontal="center" vertical="center"/>
    </xf>
    <xf numFmtId="0" fontId="112" fillId="2" borderId="0" xfId="0" applyFont="1" applyFill="1"/>
    <xf numFmtId="0" fontId="113" fillId="2" borderId="36" xfId="0" applyFont="1" applyFill="1" applyBorder="1" applyAlignment="1">
      <alignment vertical="center"/>
    </xf>
    <xf numFmtId="1" fontId="113" fillId="2" borderId="0" xfId="0" applyNumberFormat="1" applyFont="1" applyFill="1" applyAlignment="1">
      <alignment horizontal="center" vertical="center"/>
    </xf>
    <xf numFmtId="9" fontId="113" fillId="2" borderId="34" xfId="1" applyFont="1" applyFill="1" applyBorder="1" applyAlignment="1">
      <alignment horizontal="center" vertical="center"/>
    </xf>
    <xf numFmtId="164" fontId="113" fillId="2" borderId="34" xfId="1" applyNumberFormat="1" applyFont="1" applyFill="1" applyBorder="1" applyAlignment="1">
      <alignment horizontal="center" vertical="center"/>
    </xf>
    <xf numFmtId="9" fontId="113" fillId="2" borderId="0" xfId="1" applyFont="1" applyFill="1" applyBorder="1" applyAlignment="1">
      <alignment horizontal="center" vertical="center"/>
    </xf>
    <xf numFmtId="0" fontId="113" fillId="2" borderId="37" xfId="0" applyFont="1" applyFill="1" applyBorder="1" applyAlignment="1">
      <alignment vertical="center"/>
    </xf>
    <xf numFmtId="164" fontId="113" fillId="2" borderId="33" xfId="1" applyNumberFormat="1" applyFont="1" applyFill="1" applyBorder="1" applyAlignment="1">
      <alignment horizontal="center" vertical="center"/>
    </xf>
    <xf numFmtId="165" fontId="113" fillId="2" borderId="0" xfId="0" applyNumberFormat="1" applyFont="1" applyFill="1" applyAlignment="1">
      <alignment horizontal="center" vertical="center"/>
    </xf>
    <xf numFmtId="164" fontId="113" fillId="2" borderId="0" xfId="1" applyNumberFormat="1" applyFont="1" applyFill="1" applyBorder="1" applyAlignment="1">
      <alignment horizontal="center" vertical="center"/>
    </xf>
    <xf numFmtId="9" fontId="113" fillId="2" borderId="33" xfId="1" applyFont="1" applyFill="1" applyBorder="1" applyAlignment="1">
      <alignment horizontal="center" vertical="center"/>
    </xf>
    <xf numFmtId="0" fontId="113" fillId="2" borderId="39" xfId="0" applyFont="1" applyFill="1" applyBorder="1" applyAlignment="1">
      <alignment vertical="center"/>
    </xf>
    <xf numFmtId="1" fontId="113" fillId="2" borderId="38" xfId="1" applyNumberFormat="1" applyFont="1" applyFill="1" applyBorder="1" applyAlignment="1">
      <alignment horizontal="center" vertical="center"/>
    </xf>
    <xf numFmtId="164" fontId="113" fillId="2" borderId="40" xfId="1" applyNumberFormat="1" applyFont="1" applyFill="1" applyBorder="1" applyAlignment="1">
      <alignment horizontal="center" vertical="center"/>
    </xf>
    <xf numFmtId="1" fontId="113" fillId="2" borderId="38" xfId="0" applyNumberFormat="1" applyFont="1" applyFill="1" applyBorder="1" applyAlignment="1">
      <alignment horizontal="center" vertical="center"/>
    </xf>
    <xf numFmtId="9" fontId="113" fillId="2" borderId="38" xfId="1" applyFont="1" applyFill="1" applyBorder="1" applyAlignment="1">
      <alignment horizontal="center" vertical="center"/>
    </xf>
    <xf numFmtId="0" fontId="114" fillId="2" borderId="37" xfId="0" applyFont="1" applyFill="1" applyBorder="1" applyAlignment="1">
      <alignment horizontal="left" vertical="center" wrapText="1"/>
    </xf>
    <xf numFmtId="1" fontId="114" fillId="2" borderId="0" xfId="0" applyNumberFormat="1" applyFont="1" applyFill="1" applyAlignment="1">
      <alignment horizontal="center" vertical="center"/>
    </xf>
    <xf numFmtId="9" fontId="114" fillId="2" borderId="33" xfId="1" applyFont="1" applyFill="1" applyBorder="1" applyAlignment="1">
      <alignment horizontal="center" vertical="center"/>
    </xf>
    <xf numFmtId="164" fontId="114" fillId="2" borderId="33" xfId="1" applyNumberFormat="1" applyFont="1" applyFill="1" applyBorder="1" applyAlignment="1">
      <alignment horizontal="center" vertical="center"/>
    </xf>
    <xf numFmtId="1" fontId="114" fillId="2" borderId="35" xfId="0" applyNumberFormat="1" applyFont="1" applyFill="1" applyBorder="1" applyAlignment="1">
      <alignment horizontal="center" vertical="center"/>
    </xf>
    <xf numFmtId="9" fontId="114" fillId="2" borderId="0" xfId="1" applyFont="1" applyFill="1" applyBorder="1" applyAlignment="1">
      <alignment horizontal="center" vertical="center"/>
    </xf>
    <xf numFmtId="0" fontId="114" fillId="2" borderId="39" xfId="0" applyFont="1" applyFill="1" applyBorder="1" applyAlignment="1">
      <alignment horizontal="left" vertical="center" wrapText="1"/>
    </xf>
    <xf numFmtId="1" fontId="116" fillId="2" borderId="38" xfId="0" applyNumberFormat="1" applyFont="1" applyFill="1" applyBorder="1" applyAlignment="1">
      <alignment horizontal="center" vertical="center"/>
    </xf>
    <xf numFmtId="0" fontId="113" fillId="2" borderId="40" xfId="0" applyFont="1" applyFill="1" applyBorder="1" applyAlignment="1">
      <alignment horizontal="center" vertical="center"/>
    </xf>
    <xf numFmtId="1" fontId="114" fillId="2" borderId="38" xfId="0" applyNumberFormat="1" applyFont="1" applyFill="1" applyBorder="1" applyAlignment="1">
      <alignment horizontal="center" vertical="center"/>
    </xf>
    <xf numFmtId="164" fontId="114" fillId="2" borderId="38" xfId="1" applyNumberFormat="1" applyFont="1" applyFill="1" applyBorder="1" applyAlignment="1">
      <alignment horizontal="center" vertical="center"/>
    </xf>
    <xf numFmtId="0" fontId="115" fillId="2" borderId="0" xfId="0" applyFont="1" applyFill="1" applyAlignment="1">
      <alignment horizontal="left" vertical="center"/>
    </xf>
    <xf numFmtId="1" fontId="113" fillId="2" borderId="0" xfId="1" applyNumberFormat="1" applyFont="1" applyFill="1" applyBorder="1" applyAlignment="1">
      <alignment horizontal="center" vertical="center"/>
    </xf>
    <xf numFmtId="165" fontId="113" fillId="2" borderId="0" xfId="1" applyNumberFormat="1" applyFont="1" applyFill="1" applyBorder="1" applyAlignment="1">
      <alignment horizontal="center" vertical="center"/>
    </xf>
    <xf numFmtId="0" fontId="118" fillId="2" borderId="0" xfId="0" applyFont="1" applyFill="1"/>
    <xf numFmtId="9" fontId="113" fillId="2" borderId="37" xfId="1" applyFont="1" applyFill="1" applyBorder="1" applyAlignment="1">
      <alignment horizontal="center" vertical="center"/>
    </xf>
    <xf numFmtId="164" fontId="113" fillId="2" borderId="37" xfId="1" applyNumberFormat="1" applyFont="1" applyFill="1" applyBorder="1" applyAlignment="1">
      <alignment horizontal="center" vertical="center"/>
    </xf>
    <xf numFmtId="9" fontId="113" fillId="2" borderId="39" xfId="1" applyFont="1" applyFill="1" applyBorder="1" applyAlignment="1">
      <alignment horizontal="center" vertical="center"/>
    </xf>
    <xf numFmtId="9" fontId="114" fillId="2" borderId="37" xfId="1" applyFont="1" applyFill="1" applyBorder="1" applyAlignment="1">
      <alignment horizontal="center" vertical="center"/>
    </xf>
    <xf numFmtId="9" fontId="114" fillId="2" borderId="38" xfId="1" applyFont="1" applyFill="1" applyBorder="1" applyAlignment="1">
      <alignment horizontal="center" vertical="center"/>
    </xf>
    <xf numFmtId="1" fontId="113" fillId="2" borderId="36" xfId="0" applyNumberFormat="1" applyFont="1" applyFill="1" applyBorder="1" applyAlignment="1">
      <alignment horizontal="left" vertical="center" wrapText="1"/>
    </xf>
    <xf numFmtId="1" fontId="113" fillId="2" borderId="37" xfId="0" applyNumberFormat="1" applyFont="1" applyFill="1" applyBorder="1" applyAlignment="1">
      <alignment horizontal="left" vertical="center" wrapText="1"/>
    </xf>
    <xf numFmtId="1" fontId="113" fillId="2" borderId="37" xfId="0" applyNumberFormat="1" applyFont="1" applyFill="1" applyBorder="1" applyAlignment="1">
      <alignment horizontal="left" vertical="center"/>
    </xf>
    <xf numFmtId="9" fontId="113" fillId="2" borderId="36" xfId="1" applyFont="1" applyFill="1" applyBorder="1" applyAlignment="1">
      <alignment horizontal="center" vertical="center"/>
    </xf>
    <xf numFmtId="10" fontId="113" fillId="2" borderId="36" xfId="1" applyNumberFormat="1" applyFont="1" applyFill="1" applyBorder="1" applyAlignment="1">
      <alignment horizontal="center" vertical="center"/>
    </xf>
    <xf numFmtId="10" fontId="113" fillId="2" borderId="37" xfId="1" applyNumberFormat="1" applyFont="1" applyFill="1" applyBorder="1" applyAlignment="1">
      <alignment horizontal="center" vertical="center"/>
    </xf>
    <xf numFmtId="164" fontId="114" fillId="2" borderId="37" xfId="1" applyNumberFormat="1" applyFont="1" applyFill="1" applyBorder="1" applyAlignment="1">
      <alignment horizontal="center" vertical="center"/>
    </xf>
    <xf numFmtId="1" fontId="113" fillId="2" borderId="39" xfId="0" applyNumberFormat="1" applyFont="1" applyFill="1" applyBorder="1" applyAlignment="1">
      <alignment horizontal="left" vertical="center" wrapText="1"/>
    </xf>
    <xf numFmtId="164" fontId="113" fillId="2" borderId="39" xfId="1" applyNumberFormat="1" applyFont="1" applyFill="1" applyBorder="1" applyAlignment="1">
      <alignment horizontal="center" vertical="center"/>
    </xf>
    <xf numFmtId="1" fontId="113" fillId="2" borderId="39" xfId="0" applyNumberFormat="1" applyFont="1" applyFill="1" applyBorder="1" applyAlignment="1">
      <alignment horizontal="center" vertical="center"/>
    </xf>
    <xf numFmtId="0" fontId="8" fillId="24" borderId="0" xfId="0" applyFont="1" applyFill="1" applyAlignment="1">
      <alignment vertical="center"/>
    </xf>
    <xf numFmtId="0" fontId="8" fillId="24" borderId="8" xfId="0" applyFont="1" applyFill="1" applyBorder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63" fillId="33" borderId="13" xfId="0" applyFont="1" applyFill="1" applyBorder="1" applyAlignment="1">
      <alignment horizontal="center" vertical="center"/>
    </xf>
    <xf numFmtId="0" fontId="63" fillId="33" borderId="42" xfId="0" applyFont="1" applyFill="1" applyBorder="1" applyAlignment="1">
      <alignment horizontal="center" vertical="center"/>
    </xf>
    <xf numFmtId="0" fontId="63" fillId="33" borderId="17" xfId="0" applyFont="1" applyFill="1" applyBorder="1" applyAlignment="1">
      <alignment horizontal="center" vertical="center"/>
    </xf>
    <xf numFmtId="1" fontId="120" fillId="2" borderId="0" xfId="0" applyNumberFormat="1" applyFont="1" applyFill="1" applyAlignment="1">
      <alignment horizontal="center" vertical="center"/>
    </xf>
    <xf numFmtId="1" fontId="120" fillId="2" borderId="0" xfId="1" applyNumberFormat="1" applyFont="1" applyFill="1" applyBorder="1" applyAlignment="1">
      <alignment horizontal="center" vertical="center"/>
    </xf>
    <xf numFmtId="9" fontId="120" fillId="2" borderId="0" xfId="1" applyFont="1" applyFill="1" applyBorder="1" applyAlignment="1">
      <alignment horizontal="center" vertical="center"/>
    </xf>
    <xf numFmtId="164" fontId="120" fillId="2" borderId="0" xfId="1" applyNumberFormat="1" applyFont="1" applyFill="1" applyBorder="1" applyAlignment="1">
      <alignment horizontal="center" vertical="center"/>
    </xf>
    <xf numFmtId="1" fontId="120" fillId="2" borderId="43" xfId="0" applyNumberFormat="1" applyFont="1" applyFill="1" applyBorder="1" applyAlignment="1">
      <alignment horizontal="left" vertical="center" wrapText="1"/>
    </xf>
    <xf numFmtId="1" fontId="120" fillId="2" borderId="44" xfId="0" applyNumberFormat="1" applyFont="1" applyFill="1" applyBorder="1" applyAlignment="1">
      <alignment horizontal="left" vertical="center" wrapText="1"/>
    </xf>
    <xf numFmtId="165" fontId="120" fillId="2" borderId="0" xfId="0" applyNumberFormat="1" applyFont="1" applyFill="1" applyAlignment="1">
      <alignment horizontal="center" vertical="center"/>
    </xf>
    <xf numFmtId="164" fontId="120" fillId="2" borderId="45" xfId="1" applyNumberFormat="1" applyFont="1" applyFill="1" applyBorder="1" applyAlignment="1">
      <alignment horizontal="center" vertical="center"/>
    </xf>
    <xf numFmtId="9" fontId="120" fillId="2" borderId="46" xfId="1" applyFont="1" applyFill="1" applyBorder="1" applyAlignment="1">
      <alignment horizontal="center" vertical="center"/>
    </xf>
    <xf numFmtId="0" fontId="63" fillId="33" borderId="47" xfId="0" applyFont="1" applyFill="1" applyBorder="1" applyAlignment="1">
      <alignment horizontal="center" vertical="center"/>
    </xf>
    <xf numFmtId="10" fontId="120" fillId="2" borderId="46" xfId="1" applyNumberFormat="1" applyFont="1" applyFill="1" applyBorder="1" applyAlignment="1">
      <alignment horizontal="center" vertical="center"/>
    </xf>
    <xf numFmtId="1" fontId="120" fillId="2" borderId="50" xfId="0" applyNumberFormat="1" applyFont="1" applyFill="1" applyBorder="1" applyAlignment="1">
      <alignment horizontal="left" vertical="center" wrapText="1"/>
    </xf>
    <xf numFmtId="1" fontId="120" fillId="2" borderId="49" xfId="0" applyNumberFormat="1" applyFont="1" applyFill="1" applyBorder="1" applyAlignment="1">
      <alignment horizontal="center" vertical="center"/>
    </xf>
    <xf numFmtId="10" fontId="120" fillId="2" borderId="51" xfId="1" applyNumberFormat="1" applyFont="1" applyFill="1" applyBorder="1" applyAlignment="1">
      <alignment horizontal="center" vertical="center"/>
    </xf>
    <xf numFmtId="165" fontId="120" fillId="2" borderId="49" xfId="0" applyNumberFormat="1" applyFont="1" applyFill="1" applyBorder="1" applyAlignment="1">
      <alignment horizontal="center" vertical="center"/>
    </xf>
    <xf numFmtId="9" fontId="120" fillId="2" borderId="51" xfId="1" applyFont="1" applyFill="1" applyBorder="1" applyAlignment="1">
      <alignment horizontal="center" vertical="center"/>
    </xf>
    <xf numFmtId="9" fontId="120" fillId="2" borderId="49" xfId="1" applyFont="1" applyFill="1" applyBorder="1" applyAlignment="1">
      <alignment horizontal="center" vertical="center"/>
    </xf>
    <xf numFmtId="0" fontId="83" fillId="2" borderId="53" xfId="0" applyFont="1" applyFill="1" applyBorder="1" applyAlignment="1">
      <alignment horizontal="left" vertical="center" wrapText="1"/>
    </xf>
    <xf numFmtId="1" fontId="83" fillId="2" borderId="52" xfId="0" applyNumberFormat="1" applyFont="1" applyFill="1" applyBorder="1" applyAlignment="1">
      <alignment horizontal="center" vertical="center"/>
    </xf>
    <xf numFmtId="9" fontId="83" fillId="2" borderId="54" xfId="1" applyFont="1" applyFill="1" applyBorder="1" applyAlignment="1">
      <alignment horizontal="center" vertical="center"/>
    </xf>
    <xf numFmtId="2" fontId="83" fillId="2" borderId="52" xfId="0" applyNumberFormat="1" applyFont="1" applyFill="1" applyBorder="1" applyAlignment="1">
      <alignment horizontal="center" vertical="center"/>
    </xf>
    <xf numFmtId="1" fontId="120" fillId="2" borderId="49" xfId="1" applyNumberFormat="1" applyFont="1" applyFill="1" applyBorder="1" applyAlignment="1">
      <alignment horizontal="center" vertical="center"/>
    </xf>
    <xf numFmtId="1" fontId="120" fillId="2" borderId="52" xfId="1" applyNumberFormat="1" applyFont="1" applyFill="1" applyBorder="1" applyAlignment="1">
      <alignment horizontal="center" vertical="center"/>
    </xf>
    <xf numFmtId="164" fontId="120" fillId="2" borderId="52" xfId="1" applyNumberFormat="1" applyFont="1" applyFill="1" applyBorder="1" applyAlignment="1">
      <alignment horizontal="center" vertical="center"/>
    </xf>
    <xf numFmtId="0" fontId="121" fillId="27" borderId="13" xfId="0" applyFont="1" applyFill="1" applyBorder="1" applyAlignment="1">
      <alignment horizontal="center" vertical="center"/>
    </xf>
    <xf numFmtId="0" fontId="124" fillId="23" borderId="13" xfId="0" applyFont="1" applyFill="1" applyBorder="1" applyAlignment="1">
      <alignment horizontal="center" vertical="center"/>
    </xf>
    <xf numFmtId="0" fontId="125" fillId="33" borderId="0" xfId="0" applyFont="1" applyFill="1" applyAlignment="1">
      <alignment vertical="center"/>
    </xf>
    <xf numFmtId="0" fontId="125" fillId="33" borderId="8" xfId="0" applyFont="1" applyFill="1" applyBorder="1" applyAlignment="1">
      <alignment vertical="center"/>
    </xf>
    <xf numFmtId="0" fontId="125" fillId="33" borderId="0" xfId="0" applyFont="1" applyFill="1" applyAlignment="1">
      <alignment horizontal="center" vertical="center"/>
    </xf>
    <xf numFmtId="0" fontId="126" fillId="23" borderId="0" xfId="0" applyFont="1" applyFill="1" applyAlignment="1">
      <alignment vertical="center"/>
    </xf>
    <xf numFmtId="0" fontId="126" fillId="23" borderId="8" xfId="0" applyFont="1" applyFill="1" applyBorder="1" applyAlignment="1">
      <alignment vertical="center"/>
    </xf>
    <xf numFmtId="0" fontId="126" fillId="23" borderId="0" xfId="0" applyFont="1" applyFill="1" applyAlignment="1">
      <alignment horizontal="center" vertical="center"/>
    </xf>
    <xf numFmtId="0" fontId="8" fillId="26" borderId="0" xfId="0" applyFont="1" applyFill="1" applyAlignment="1">
      <alignment vertical="center"/>
    </xf>
    <xf numFmtId="0" fontId="8" fillId="26" borderId="8" xfId="0" applyFont="1" applyFill="1" applyBorder="1" applyAlignment="1">
      <alignment vertical="center"/>
    </xf>
    <xf numFmtId="0" fontId="8" fillId="26" borderId="0" xfId="0" applyFont="1" applyFill="1" applyAlignment="1">
      <alignment horizontal="center" vertical="center"/>
    </xf>
    <xf numFmtId="165" fontId="129" fillId="2" borderId="0" xfId="0" applyNumberFormat="1" applyFont="1" applyFill="1" applyAlignment="1">
      <alignment horizontal="center" vertical="center"/>
    </xf>
    <xf numFmtId="165" fontId="129" fillId="2" borderId="0" xfId="1" applyNumberFormat="1" applyFont="1" applyFill="1" applyBorder="1" applyAlignment="1">
      <alignment horizontal="center" vertical="center"/>
    </xf>
    <xf numFmtId="1" fontId="129" fillId="2" borderId="0" xfId="0" applyNumberFormat="1" applyFont="1" applyFill="1" applyAlignment="1">
      <alignment horizontal="center" vertical="center"/>
    </xf>
    <xf numFmtId="9" fontId="129" fillId="2" borderId="0" xfId="1" applyFont="1" applyFill="1" applyBorder="1" applyAlignment="1">
      <alignment horizontal="center" vertical="center"/>
    </xf>
    <xf numFmtId="9" fontId="129" fillId="2" borderId="0" xfId="1" applyFont="1" applyFill="1" applyAlignment="1">
      <alignment horizontal="center" vertical="center"/>
    </xf>
    <xf numFmtId="164" fontId="129" fillId="2" borderId="0" xfId="1" applyNumberFormat="1" applyFont="1" applyFill="1" applyBorder="1" applyAlignment="1">
      <alignment horizontal="center" vertical="center"/>
    </xf>
    <xf numFmtId="9" fontId="130" fillId="2" borderId="0" xfId="1" applyFont="1" applyFill="1" applyBorder="1" applyAlignment="1">
      <alignment horizontal="center" vertical="center"/>
    </xf>
    <xf numFmtId="0" fontId="132" fillId="35" borderId="13" xfId="0" applyFont="1" applyFill="1" applyBorder="1" applyAlignment="1">
      <alignment horizontal="center" vertical="center"/>
    </xf>
    <xf numFmtId="0" fontId="128" fillId="2" borderId="0" xfId="0" applyFont="1" applyFill="1"/>
    <xf numFmtId="10" fontId="129" fillId="2" borderId="56" xfId="1" applyNumberFormat="1" applyFont="1" applyFill="1" applyBorder="1" applyAlignment="1">
      <alignment horizontal="center" vertical="center"/>
    </xf>
    <xf numFmtId="9" fontId="129" fillId="2" borderId="56" xfId="1" applyFont="1" applyFill="1" applyBorder="1" applyAlignment="1">
      <alignment horizontal="center" vertical="center"/>
    </xf>
    <xf numFmtId="1" fontId="129" fillId="2" borderId="56" xfId="0" applyNumberFormat="1" applyFont="1" applyFill="1" applyBorder="1" applyAlignment="1">
      <alignment horizontal="left" vertical="center" wrapText="1"/>
    </xf>
    <xf numFmtId="164" fontId="129" fillId="2" borderId="58" xfId="1" applyNumberFormat="1" applyFont="1" applyFill="1" applyBorder="1" applyAlignment="1">
      <alignment horizontal="center" vertical="center"/>
    </xf>
    <xf numFmtId="1" fontId="129" fillId="2" borderId="57" xfId="0" applyNumberFormat="1" applyFont="1" applyFill="1" applyBorder="1" applyAlignment="1">
      <alignment horizontal="center" vertical="center"/>
    </xf>
    <xf numFmtId="9" fontId="129" fillId="2" borderId="57" xfId="1" applyFont="1" applyFill="1" applyBorder="1" applyAlignment="1">
      <alignment horizontal="center" vertical="center"/>
    </xf>
    <xf numFmtId="1" fontId="129" fillId="2" borderId="58" xfId="0" applyNumberFormat="1" applyFont="1" applyFill="1" applyBorder="1" applyAlignment="1">
      <alignment horizontal="left" vertical="center" wrapText="1"/>
    </xf>
    <xf numFmtId="0" fontId="130" fillId="2" borderId="58" xfId="0" applyFont="1" applyFill="1" applyBorder="1" applyAlignment="1">
      <alignment horizontal="left" vertical="center" wrapText="1"/>
    </xf>
    <xf numFmtId="1" fontId="130" fillId="2" borderId="57" xfId="0" applyNumberFormat="1" applyFont="1" applyFill="1" applyBorder="1" applyAlignment="1">
      <alignment horizontal="center" vertical="center"/>
    </xf>
    <xf numFmtId="9" fontId="130" fillId="2" borderId="58" xfId="1" applyFont="1" applyFill="1" applyBorder="1" applyAlignment="1">
      <alignment horizontal="center" vertical="center"/>
    </xf>
    <xf numFmtId="164" fontId="130" fillId="2" borderId="58" xfId="1" applyNumberFormat="1" applyFont="1" applyFill="1" applyBorder="1" applyAlignment="1">
      <alignment horizontal="center" vertical="center"/>
    </xf>
    <xf numFmtId="9" fontId="130" fillId="2" borderId="57" xfId="1" applyFont="1" applyFill="1" applyBorder="1" applyAlignment="1">
      <alignment horizontal="center" vertical="center"/>
    </xf>
    <xf numFmtId="0" fontId="132" fillId="35" borderId="0" xfId="0" applyFont="1" applyFill="1" applyAlignment="1">
      <alignment horizontal="center" vertical="center"/>
    </xf>
    <xf numFmtId="0" fontId="132" fillId="35" borderId="56" xfId="0" applyFont="1" applyFill="1" applyBorder="1" applyAlignment="1">
      <alignment horizontal="center" vertical="center"/>
    </xf>
    <xf numFmtId="0" fontId="16" fillId="16" borderId="0" xfId="0" applyFont="1" applyFill="1" applyAlignment="1">
      <alignment horizontal="left" vertical="center"/>
    </xf>
    <xf numFmtId="0" fontId="77" fillId="32" borderId="0" xfId="0" applyFont="1" applyFill="1" applyAlignment="1">
      <alignment horizontal="center" vertical="center"/>
    </xf>
    <xf numFmtId="0" fontId="95" fillId="32" borderId="0" xfId="0" applyFont="1" applyFill="1" applyAlignment="1">
      <alignment horizontal="center" vertical="center"/>
    </xf>
    <xf numFmtId="1" fontId="96" fillId="32" borderId="0" xfId="0" applyNumberFormat="1" applyFont="1" applyFill="1" applyAlignment="1">
      <alignment horizontal="left" vertical="center"/>
    </xf>
    <xf numFmtId="0" fontId="77" fillId="32" borderId="0" xfId="0" applyFont="1" applyFill="1" applyAlignment="1">
      <alignment vertical="top"/>
    </xf>
    <xf numFmtId="1" fontId="77" fillId="32" borderId="0" xfId="0" applyNumberFormat="1" applyFont="1" applyFill="1" applyAlignment="1">
      <alignment horizontal="center" vertical="center"/>
    </xf>
    <xf numFmtId="1" fontId="95" fillId="32" borderId="0" xfId="0" applyNumberFormat="1" applyFont="1" applyFill="1" applyAlignment="1">
      <alignment horizontal="center" vertical="center"/>
    </xf>
    <xf numFmtId="1" fontId="99" fillId="32" borderId="0" xfId="0" applyNumberFormat="1" applyFont="1" applyFill="1" applyAlignment="1">
      <alignment horizontal="center" vertical="center"/>
    </xf>
    <xf numFmtId="1" fontId="97" fillId="32" borderId="0" xfId="0" applyNumberFormat="1" applyFont="1" applyFill="1" applyAlignment="1">
      <alignment horizontal="center" vertical="center"/>
    </xf>
    <xf numFmtId="1" fontId="5" fillId="32" borderId="0" xfId="0" applyNumberFormat="1" applyFont="1" applyFill="1" applyAlignment="1">
      <alignment horizontal="left"/>
    </xf>
    <xf numFmtId="1" fontId="6" fillId="32" borderId="0" xfId="0" applyNumberFormat="1" applyFont="1" applyFill="1"/>
    <xf numFmtId="0" fontId="7" fillId="32" borderId="0" xfId="0" applyFont="1" applyFill="1" applyAlignment="1">
      <alignment horizontal="left"/>
    </xf>
    <xf numFmtId="0" fontId="8" fillId="32" borderId="0" xfId="0" applyFont="1" applyFill="1"/>
    <xf numFmtId="0" fontId="8" fillId="32" borderId="0" xfId="0" applyFont="1" applyFill="1" applyAlignment="1">
      <alignment horizontal="left"/>
    </xf>
    <xf numFmtId="0" fontId="10" fillId="32" borderId="0" xfId="0" applyFont="1" applyFill="1" applyAlignment="1">
      <alignment horizontal="center"/>
    </xf>
    <xf numFmtId="1" fontId="11" fillId="32" borderId="0" xfId="0" applyNumberFormat="1" applyFont="1" applyFill="1" applyAlignment="1">
      <alignment horizontal="center"/>
    </xf>
    <xf numFmtId="1" fontId="11" fillId="32" borderId="0" xfId="0" applyNumberFormat="1" applyFont="1" applyFill="1"/>
    <xf numFmtId="1" fontId="12" fillId="32" borderId="0" xfId="0" applyNumberFormat="1" applyFont="1" applyFill="1"/>
    <xf numFmtId="0" fontId="31" fillId="32" borderId="0" xfId="0" applyFont="1" applyFill="1" applyAlignment="1">
      <alignment horizontal="center" vertical="center"/>
    </xf>
    <xf numFmtId="0" fontId="13" fillId="32" borderId="0" xfId="0" applyFont="1" applyFill="1" applyAlignment="1">
      <alignment horizontal="center" vertical="center"/>
    </xf>
    <xf numFmtId="1" fontId="14" fillId="32" borderId="0" xfId="0" applyNumberFormat="1" applyFont="1" applyFill="1" applyAlignment="1">
      <alignment horizontal="left" vertical="center"/>
    </xf>
    <xf numFmtId="0" fontId="15" fillId="32" borderId="0" xfId="0" applyFont="1" applyFill="1" applyAlignment="1">
      <alignment vertical="top"/>
    </xf>
    <xf numFmtId="1" fontId="16" fillId="32" borderId="0" xfId="0" applyNumberFormat="1" applyFont="1" applyFill="1" applyAlignment="1">
      <alignment horizontal="center" vertical="center"/>
    </xf>
    <xf numFmtId="1" fontId="11" fillId="32" borderId="0" xfId="0" applyNumberFormat="1" applyFont="1" applyFill="1" applyAlignment="1">
      <alignment horizontal="center" vertical="center"/>
    </xf>
    <xf numFmtId="0" fontId="7" fillId="32" borderId="0" xfId="0" applyFont="1" applyFill="1"/>
    <xf numFmtId="0" fontId="29" fillId="32" borderId="0" xfId="0" applyFont="1" applyFill="1"/>
    <xf numFmtId="1" fontId="14" fillId="32" borderId="0" xfId="0" applyNumberFormat="1" applyFont="1" applyFill="1" applyAlignment="1">
      <alignment horizontal="center" vertical="center"/>
    </xf>
    <xf numFmtId="1" fontId="12" fillId="32" borderId="0" xfId="0" applyNumberFormat="1" applyFont="1" applyFill="1" applyAlignment="1">
      <alignment horizontal="center" vertical="center"/>
    </xf>
    <xf numFmtId="0" fontId="47" fillId="32" borderId="0" xfId="0" applyFont="1" applyFill="1" applyAlignment="1">
      <alignment horizontal="left"/>
    </xf>
    <xf numFmtId="1" fontId="47" fillId="32" borderId="0" xfId="0" applyNumberFormat="1" applyFont="1" applyFill="1" applyAlignment="1">
      <alignment horizontal="center"/>
    </xf>
    <xf numFmtId="0" fontId="53" fillId="32" borderId="0" xfId="0" applyFont="1" applyFill="1"/>
    <xf numFmtId="0" fontId="13" fillId="32" borderId="0" xfId="0" applyFont="1" applyFill="1"/>
    <xf numFmtId="0" fontId="31" fillId="32" borderId="0" xfId="0" applyFont="1" applyFill="1" applyAlignment="1">
      <alignment horizontal="center"/>
    </xf>
    <xf numFmtId="0" fontId="31" fillId="32" borderId="0" xfId="0" applyFont="1" applyFill="1"/>
    <xf numFmtId="0" fontId="50" fillId="32" borderId="0" xfId="0" applyFont="1" applyFill="1"/>
    <xf numFmtId="0" fontId="47" fillId="32" borderId="0" xfId="0" applyFont="1" applyFill="1" applyAlignment="1">
      <alignment horizontal="center" vertical="center"/>
    </xf>
    <xf numFmtId="1" fontId="47" fillId="32" borderId="0" xfId="0" applyNumberFormat="1" applyFont="1" applyFill="1" applyAlignment="1">
      <alignment horizontal="center" vertical="center"/>
    </xf>
    <xf numFmtId="0" fontId="53" fillId="32" borderId="0" xfId="0" applyFont="1" applyFill="1" applyAlignment="1">
      <alignment horizontal="center" vertical="center"/>
    </xf>
    <xf numFmtId="0" fontId="8" fillId="32" borderId="0" xfId="0" applyFont="1" applyFill="1" applyAlignment="1">
      <alignment horizontal="center" vertical="center"/>
    </xf>
    <xf numFmtId="1" fontId="16" fillId="32" borderId="0" xfId="1" applyNumberFormat="1" applyFont="1" applyFill="1" applyAlignment="1">
      <alignment horizontal="center" vertical="center"/>
    </xf>
    <xf numFmtId="0" fontId="50" fillId="32" borderId="0" xfId="0" applyFont="1" applyFill="1" applyAlignment="1">
      <alignment horizontal="center" vertical="center"/>
    </xf>
    <xf numFmtId="0" fontId="47" fillId="36" borderId="0" xfId="0" applyFont="1" applyFill="1" applyAlignment="1">
      <alignment horizontal="left"/>
    </xf>
    <xf numFmtId="1" fontId="47" fillId="36" borderId="0" xfId="0" applyNumberFormat="1" applyFont="1" applyFill="1" applyAlignment="1">
      <alignment horizontal="center"/>
    </xf>
    <xf numFmtId="0" fontId="57" fillId="36" borderId="0" xfId="0" applyFont="1" applyFill="1"/>
    <xf numFmtId="0" fontId="29" fillId="36" borderId="0" xfId="0" applyFont="1" applyFill="1"/>
    <xf numFmtId="0" fontId="8" fillId="36" borderId="0" xfId="0" applyFont="1" applyFill="1"/>
    <xf numFmtId="0" fontId="58" fillId="36" borderId="0" xfId="0" applyFont="1" applyFill="1"/>
    <xf numFmtId="0" fontId="31" fillId="36" borderId="0" xfId="0" applyFont="1" applyFill="1" applyAlignment="1">
      <alignment horizontal="center"/>
    </xf>
    <xf numFmtId="0" fontId="31" fillId="36" borderId="0" xfId="0" applyFont="1" applyFill="1"/>
    <xf numFmtId="0" fontId="50" fillId="36" borderId="0" xfId="0" applyFont="1" applyFill="1"/>
    <xf numFmtId="0" fontId="19" fillId="36" borderId="0" xfId="0" applyFont="1" applyFill="1"/>
    <xf numFmtId="0" fontId="47" fillId="36" borderId="0" xfId="0" applyFont="1" applyFill="1" applyAlignment="1">
      <alignment horizontal="center" vertical="center"/>
    </xf>
    <xf numFmtId="1" fontId="4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 wrapText="1"/>
    </xf>
    <xf numFmtId="0" fontId="15" fillId="36" borderId="0" xfId="0" applyFont="1" applyFill="1" applyAlignment="1">
      <alignment horizontal="left" vertical="top"/>
    </xf>
    <xf numFmtId="0" fontId="31" fillId="36" borderId="0" xfId="0" applyFont="1" applyFill="1" applyAlignment="1">
      <alignment horizontal="center" vertical="center"/>
    </xf>
    <xf numFmtId="0" fontId="8" fillId="36" borderId="0" xfId="0" applyFont="1" applyFill="1" applyAlignment="1">
      <alignment horizontal="center" vertical="center" wrapText="1"/>
    </xf>
    <xf numFmtId="1" fontId="16" fillId="36" borderId="0" xfId="1" applyNumberFormat="1" applyFont="1" applyFill="1" applyAlignment="1">
      <alignment horizontal="center" vertical="center"/>
    </xf>
    <xf numFmtId="1" fontId="16" fillId="36" borderId="0" xfId="0" applyNumberFormat="1" applyFont="1" applyFill="1" applyAlignment="1">
      <alignment horizontal="center" vertical="center"/>
    </xf>
    <xf numFmtId="1" fontId="84" fillId="36" borderId="0" xfId="0" applyNumberFormat="1" applyFont="1" applyFill="1" applyAlignment="1">
      <alignment horizontal="center" vertical="center"/>
    </xf>
    <xf numFmtId="0" fontId="19" fillId="36" borderId="0" xfId="0" applyFont="1" applyFill="1" applyAlignment="1">
      <alignment horizontal="center" vertical="center"/>
    </xf>
    <xf numFmtId="0" fontId="31" fillId="36" borderId="0" xfId="0" applyFont="1" applyFill="1" applyAlignment="1">
      <alignment horizontal="left"/>
    </xf>
    <xf numFmtId="0" fontId="46" fillId="36" borderId="0" xfId="0" applyFont="1" applyFill="1" applyAlignment="1">
      <alignment horizontal="center"/>
    </xf>
    <xf numFmtId="0" fontId="41" fillId="36" borderId="0" xfId="0" applyFont="1" applyFill="1"/>
    <xf numFmtId="0" fontId="30" fillId="36" borderId="0" xfId="0" applyFont="1" applyFill="1" applyAlignment="1">
      <alignment horizontal="left" vertical="center"/>
    </xf>
    <xf numFmtId="0" fontId="29" fillId="36" borderId="0" xfId="0" applyFont="1" applyFill="1" applyAlignment="1">
      <alignment vertical="center"/>
    </xf>
    <xf numFmtId="0" fontId="65" fillId="36" borderId="0" xfId="0" applyFont="1" applyFill="1" applyAlignment="1">
      <alignment vertical="center"/>
    </xf>
    <xf numFmtId="0" fontId="15" fillId="36" borderId="0" xfId="0" applyFont="1" applyFill="1" applyAlignment="1">
      <alignment vertical="top"/>
    </xf>
    <xf numFmtId="1" fontId="16" fillId="36" borderId="0" xfId="0" applyNumberFormat="1" applyFont="1" applyFill="1" applyAlignment="1">
      <alignment vertical="center"/>
    </xf>
    <xf numFmtId="0" fontId="41" fillId="36" borderId="0" xfId="0" applyFont="1" applyFill="1" applyAlignment="1">
      <alignment vertical="center"/>
    </xf>
    <xf numFmtId="0" fontId="29" fillId="34" borderId="0" xfId="0" applyFont="1" applyFill="1"/>
    <xf numFmtId="0" fontId="8" fillId="34" borderId="0" xfId="0" applyFont="1" applyFill="1"/>
    <xf numFmtId="0" fontId="8" fillId="34" borderId="0" xfId="0" applyFont="1" applyFill="1" applyAlignment="1">
      <alignment horizontal="center"/>
    </xf>
    <xf numFmtId="0" fontId="66" fillId="34" borderId="0" xfId="0" applyFont="1" applyFill="1" applyAlignment="1">
      <alignment horizontal="left" vertical="center"/>
    </xf>
    <xf numFmtId="0" fontId="66" fillId="34" borderId="0" xfId="0" applyFont="1" applyFill="1" applyAlignment="1">
      <alignment vertical="center"/>
    </xf>
    <xf numFmtId="0" fontId="7" fillId="34" borderId="0" xfId="0" applyFont="1" applyFill="1" applyAlignment="1">
      <alignment vertical="center"/>
    </xf>
    <xf numFmtId="0" fontId="29" fillId="34" borderId="0" xfId="0" applyFont="1" applyFill="1" applyAlignment="1">
      <alignment vertical="center"/>
    </xf>
    <xf numFmtId="0" fontId="8" fillId="34" borderId="0" xfId="0" applyFont="1" applyFill="1" applyAlignment="1">
      <alignment vertical="center"/>
    </xf>
    <xf numFmtId="1" fontId="16" fillId="34" borderId="0" xfId="1" applyNumberFormat="1" applyFont="1" applyFill="1" applyAlignment="1">
      <alignment horizontal="center" vertical="center"/>
    </xf>
    <xf numFmtId="1" fontId="16" fillId="34" borderId="0" xfId="0" applyNumberFormat="1" applyFont="1" applyFill="1" applyAlignment="1">
      <alignment vertical="center"/>
    </xf>
    <xf numFmtId="1" fontId="84" fillId="34" borderId="0" xfId="0" applyNumberFormat="1" applyFont="1" applyFill="1" applyAlignment="1">
      <alignment horizontal="center" vertical="center"/>
    </xf>
    <xf numFmtId="0" fontId="35" fillId="34" borderId="0" xfId="0" applyFont="1" applyFill="1" applyAlignment="1">
      <alignment vertical="center"/>
    </xf>
    <xf numFmtId="0" fontId="47" fillId="31" borderId="0" xfId="0" applyFont="1" applyFill="1" applyAlignment="1">
      <alignment horizontal="left"/>
    </xf>
    <xf numFmtId="1" fontId="47" fillId="31" borderId="0" xfId="0" applyNumberFormat="1" applyFont="1" applyFill="1" applyAlignment="1">
      <alignment horizontal="center"/>
    </xf>
    <xf numFmtId="0" fontId="53" fillId="31" borderId="0" xfId="0" applyFont="1" applyFill="1"/>
    <xf numFmtId="0" fontId="68" fillId="31" borderId="0" xfId="0" applyFont="1" applyFill="1"/>
    <xf numFmtId="0" fontId="69" fillId="31" borderId="0" xfId="0" applyFont="1" applyFill="1"/>
    <xf numFmtId="0" fontId="33" fillId="31" borderId="0" xfId="0" applyFont="1" applyFill="1" applyAlignment="1">
      <alignment horizontal="center"/>
    </xf>
    <xf numFmtId="0" fontId="33" fillId="31" borderId="0" xfId="0" applyFont="1" applyFill="1"/>
    <xf numFmtId="0" fontId="47" fillId="31" borderId="0" xfId="0" applyFont="1" applyFill="1" applyAlignment="1">
      <alignment horizontal="center" vertical="center"/>
    </xf>
    <xf numFmtId="1" fontId="47" fillId="31" borderId="0" xfId="0" applyNumberFormat="1" applyFont="1" applyFill="1" applyAlignment="1">
      <alignment horizontal="center" vertical="center"/>
    </xf>
    <xf numFmtId="0" fontId="53" fillId="31" borderId="0" xfId="0" applyFont="1" applyFill="1" applyAlignment="1">
      <alignment horizontal="center" vertical="center"/>
    </xf>
    <xf numFmtId="0" fontId="68" fillId="31" borderId="0" xfId="0" applyFont="1" applyFill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1" fontId="16" fillId="31" borderId="0" xfId="1" applyNumberFormat="1" applyFont="1" applyFill="1" applyAlignment="1">
      <alignment horizontal="center" vertical="center"/>
    </xf>
    <xf numFmtId="1" fontId="16" fillId="31" borderId="0" xfId="0" applyNumberFormat="1" applyFont="1" applyFill="1" applyAlignment="1">
      <alignment horizontal="center" vertical="center"/>
    </xf>
    <xf numFmtId="1" fontId="84" fillId="31" borderId="0" xfId="0" applyNumberFormat="1" applyFont="1" applyFill="1" applyAlignment="1">
      <alignment horizontal="center" vertical="center"/>
    </xf>
    <xf numFmtId="0" fontId="35" fillId="31" borderId="0" xfId="0" applyFont="1" applyFill="1" applyAlignment="1">
      <alignment horizontal="center" vertical="center"/>
    </xf>
    <xf numFmtId="0" fontId="9" fillId="34" borderId="0" xfId="0" applyFont="1" applyFill="1" applyAlignment="1">
      <alignment horizontal="left"/>
    </xf>
    <xf numFmtId="0" fontId="9" fillId="34" borderId="0" xfId="0" applyFont="1" applyFill="1"/>
    <xf numFmtId="0" fontId="71" fillId="34" borderId="0" xfId="0" applyFont="1" applyFill="1"/>
    <xf numFmtId="0" fontId="133" fillId="2" borderId="0" xfId="0" applyFont="1" applyFill="1" applyAlignment="1">
      <alignment vertical="center"/>
    </xf>
    <xf numFmtId="0" fontId="134" fillId="2" borderId="0" xfId="0" applyFont="1" applyFill="1" applyAlignment="1">
      <alignment vertical="center"/>
    </xf>
    <xf numFmtId="0" fontId="11" fillId="16" borderId="0" xfId="0" applyFont="1" applyFill="1" applyAlignment="1">
      <alignment horizontal="left" vertical="center"/>
    </xf>
    <xf numFmtId="0" fontId="13" fillId="32" borderId="0" xfId="0" applyFont="1" applyFill="1" applyAlignment="1">
      <alignment vertical="top" wrapText="1"/>
    </xf>
    <xf numFmtId="0" fontId="8" fillId="32" borderId="0" xfId="0" applyFont="1" applyFill="1" applyAlignment="1">
      <alignment horizontal="center" vertical="top"/>
    </xf>
    <xf numFmtId="0" fontId="8" fillId="32" borderId="0" xfId="0" applyFont="1" applyFill="1" applyAlignment="1">
      <alignment vertical="top"/>
    </xf>
    <xf numFmtId="0" fontId="8" fillId="32" borderId="0" xfId="0" applyFont="1" applyFill="1" applyAlignment="1">
      <alignment horizontal="center"/>
    </xf>
    <xf numFmtId="0" fontId="13" fillId="32" borderId="0" xfId="0" applyFont="1" applyFill="1" applyAlignment="1">
      <alignment horizontal="center" vertical="top" wrapText="1"/>
    </xf>
    <xf numFmtId="0" fontId="75" fillId="15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top" wrapText="1"/>
    </xf>
    <xf numFmtId="0" fontId="13" fillId="32" borderId="0" xfId="0" applyFont="1" applyFill="1" applyAlignment="1">
      <alignment horizontal="center" vertical="center" wrapText="1"/>
    </xf>
    <xf numFmtId="0" fontId="8" fillId="8" borderId="0" xfId="0" applyFont="1" applyFill="1" applyAlignment="1">
      <alignment horizontal="center" vertical="center" wrapText="1"/>
    </xf>
    <xf numFmtId="1" fontId="12" fillId="2" borderId="0" xfId="0" applyNumberFormat="1" applyFont="1" applyFill="1" applyAlignment="1">
      <alignment vertical="center"/>
    </xf>
    <xf numFmtId="1" fontId="120" fillId="2" borderId="59" xfId="0" applyNumberFormat="1" applyFont="1" applyFill="1" applyBorder="1" applyAlignment="1">
      <alignment horizontal="left" vertical="center" wrapText="1"/>
    </xf>
    <xf numFmtId="9" fontId="120" fillId="2" borderId="59" xfId="1" applyFont="1" applyFill="1" applyBorder="1" applyAlignment="1">
      <alignment horizontal="center" vertical="center"/>
    </xf>
    <xf numFmtId="1" fontId="120" fillId="2" borderId="0" xfId="1" applyNumberFormat="1" applyFont="1" applyFill="1" applyAlignment="1">
      <alignment horizontal="center" vertical="center"/>
    </xf>
    <xf numFmtId="164" fontId="120" fillId="2" borderId="59" xfId="1" applyNumberFormat="1" applyFont="1" applyFill="1" applyBorder="1" applyAlignment="1">
      <alignment horizontal="center" vertical="center"/>
    </xf>
    <xf numFmtId="1" fontId="120" fillId="2" borderId="60" xfId="0" applyNumberFormat="1" applyFont="1" applyFill="1" applyBorder="1" applyAlignment="1">
      <alignment horizontal="left" vertical="center" wrapText="1"/>
    </xf>
    <xf numFmtId="9" fontId="120" fillId="2" borderId="60" xfId="1" applyFont="1" applyFill="1" applyBorder="1" applyAlignment="1">
      <alignment horizontal="center" vertical="center"/>
    </xf>
    <xf numFmtId="164" fontId="120" fillId="2" borderId="60" xfId="1" applyNumberFormat="1" applyFont="1" applyFill="1" applyBorder="1" applyAlignment="1">
      <alignment horizontal="center" vertical="center"/>
    </xf>
    <xf numFmtId="9" fontId="120" fillId="2" borderId="0" xfId="0" applyNumberFormat="1" applyFont="1" applyFill="1" applyAlignment="1">
      <alignment horizontal="center" vertical="center"/>
    </xf>
    <xf numFmtId="164" fontId="120" fillId="2" borderId="0" xfId="1" applyNumberFormat="1" applyFont="1" applyFill="1" applyAlignment="1">
      <alignment horizontal="center" vertical="center"/>
    </xf>
    <xf numFmtId="1" fontId="120" fillId="2" borderId="60" xfId="0" applyNumberFormat="1" applyFont="1" applyFill="1" applyBorder="1" applyAlignment="1">
      <alignment horizontal="left" vertical="center"/>
    </xf>
    <xf numFmtId="2" fontId="120" fillId="2" borderId="0" xfId="0" applyNumberFormat="1" applyFont="1" applyFill="1" applyAlignment="1">
      <alignment horizontal="center" vertical="center"/>
    </xf>
    <xf numFmtId="173" fontId="120" fillId="2" borderId="60" xfId="1" applyNumberFormat="1" applyFont="1" applyFill="1" applyBorder="1" applyAlignment="1">
      <alignment horizontal="center" vertical="center"/>
    </xf>
    <xf numFmtId="10" fontId="120" fillId="2" borderId="60" xfId="1" applyNumberFormat="1" applyFont="1" applyFill="1" applyBorder="1" applyAlignment="1">
      <alignment horizontal="center" vertical="center"/>
    </xf>
    <xf numFmtId="1" fontId="120" fillId="2" borderId="62" xfId="0" applyNumberFormat="1" applyFont="1" applyFill="1" applyBorder="1" applyAlignment="1">
      <alignment horizontal="left" vertical="center" wrapText="1"/>
    </xf>
    <xf numFmtId="1" fontId="120" fillId="2" borderId="61" xfId="0" applyNumberFormat="1" applyFont="1" applyFill="1" applyBorder="1" applyAlignment="1">
      <alignment horizontal="center" vertical="center"/>
    </xf>
    <xf numFmtId="164" fontId="120" fillId="2" borderId="62" xfId="1" applyNumberFormat="1" applyFont="1" applyFill="1" applyBorder="1" applyAlignment="1">
      <alignment horizontal="center" vertical="center"/>
    </xf>
    <xf numFmtId="9" fontId="120" fillId="2" borderId="62" xfId="1" applyFont="1" applyFill="1" applyBorder="1" applyAlignment="1">
      <alignment horizontal="center" vertical="center"/>
    </xf>
    <xf numFmtId="9" fontId="120" fillId="2" borderId="61" xfId="1" applyFont="1" applyFill="1" applyBorder="1" applyAlignment="1">
      <alignment horizontal="center" vertical="center"/>
    </xf>
    <xf numFmtId="0" fontId="83" fillId="2" borderId="64" xfId="0" applyFont="1" applyFill="1" applyBorder="1" applyAlignment="1">
      <alignment horizontal="left" vertical="center" wrapText="1"/>
    </xf>
    <xf numFmtId="1" fontId="83" fillId="2" borderId="63" xfId="0" applyNumberFormat="1" applyFont="1" applyFill="1" applyBorder="1" applyAlignment="1">
      <alignment horizontal="center" vertical="center"/>
    </xf>
    <xf numFmtId="9" fontId="83" fillId="2" borderId="64" xfId="0" applyNumberFormat="1" applyFont="1" applyFill="1" applyBorder="1" applyAlignment="1">
      <alignment horizontal="center" vertical="center"/>
    </xf>
    <xf numFmtId="164" fontId="83" fillId="2" borderId="64" xfId="1" applyNumberFormat="1" applyFont="1" applyFill="1" applyBorder="1" applyAlignment="1">
      <alignment horizontal="center" vertical="center"/>
    </xf>
    <xf numFmtId="164" fontId="83" fillId="2" borderId="63" xfId="1" applyNumberFormat="1" applyFont="1" applyFill="1" applyBorder="1" applyAlignment="1">
      <alignment horizontal="center" vertical="center"/>
    </xf>
    <xf numFmtId="166" fontId="83" fillId="2" borderId="64" xfId="0" applyNumberFormat="1" applyFont="1" applyFill="1" applyBorder="1" applyAlignment="1">
      <alignment horizontal="center" vertical="center"/>
    </xf>
    <xf numFmtId="9" fontId="83" fillId="2" borderId="64" xfId="1" applyFont="1" applyFill="1" applyBorder="1" applyAlignment="1">
      <alignment horizontal="center" vertical="center"/>
    </xf>
    <xf numFmtId="9" fontId="120" fillId="2" borderId="0" xfId="1" applyFont="1" applyFill="1" applyAlignment="1">
      <alignment horizontal="center" vertical="center"/>
    </xf>
    <xf numFmtId="9" fontId="83" fillId="2" borderId="63" xfId="1" applyFont="1" applyFill="1" applyBorder="1" applyAlignment="1">
      <alignment horizontal="center" vertical="center"/>
    </xf>
    <xf numFmtId="0" fontId="31" fillId="32" borderId="0" xfId="0" applyFont="1" applyFill="1" applyAlignment="1">
      <alignment vertical="top"/>
    </xf>
    <xf numFmtId="0" fontId="8" fillId="32" borderId="0" xfId="0" applyFont="1" applyFill="1" applyAlignment="1">
      <alignment wrapText="1"/>
    </xf>
    <xf numFmtId="0" fontId="8" fillId="32" borderId="0" xfId="0" applyFont="1" applyFill="1" applyAlignment="1">
      <alignment horizontal="center" wrapText="1"/>
    </xf>
    <xf numFmtId="0" fontId="8" fillId="32" borderId="0" xfId="0" applyFont="1" applyFill="1" applyAlignment="1">
      <alignment horizontal="center" vertical="center" wrapText="1"/>
    </xf>
    <xf numFmtId="1" fontId="12" fillId="2" borderId="0" xfId="1" applyNumberFormat="1" applyFont="1" applyFill="1" applyBorder="1" applyAlignment="1">
      <alignment vertical="center"/>
    </xf>
    <xf numFmtId="0" fontId="125" fillId="27" borderId="0" xfId="0" applyFont="1" applyFill="1" applyAlignment="1">
      <alignment vertical="center"/>
    </xf>
    <xf numFmtId="0" fontId="125" fillId="27" borderId="0" xfId="0" applyFont="1" applyFill="1" applyAlignment="1">
      <alignment horizontal="center" vertical="center"/>
    </xf>
    <xf numFmtId="0" fontId="85" fillId="24" borderId="14" xfId="0" applyFont="1" applyFill="1" applyBorder="1" applyAlignment="1">
      <alignment horizontal="left" vertical="center"/>
    </xf>
    <xf numFmtId="9" fontId="19" fillId="2" borderId="0" xfId="0" applyNumberFormat="1" applyFont="1" applyFill="1" applyAlignment="1">
      <alignment horizontal="center"/>
    </xf>
    <xf numFmtId="0" fontId="73" fillId="2" borderId="0" xfId="0" applyFont="1" applyFill="1" applyAlignment="1">
      <alignment horizontal="center" vertical="center"/>
    </xf>
    <xf numFmtId="1" fontId="19" fillId="2" borderId="0" xfId="0" applyNumberFormat="1" applyFont="1" applyFill="1" applyAlignment="1">
      <alignment horizontal="center"/>
    </xf>
    <xf numFmtId="0" fontId="8" fillId="1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top"/>
    </xf>
    <xf numFmtId="10" fontId="83" fillId="2" borderId="63" xfId="1" applyNumberFormat="1" applyFont="1" applyFill="1" applyBorder="1" applyAlignment="1">
      <alignment horizontal="center" vertical="center"/>
    </xf>
    <xf numFmtId="164" fontId="120" fillId="2" borderId="0" xfId="0" applyNumberFormat="1" applyFont="1" applyFill="1" applyAlignment="1">
      <alignment horizontal="center" vertical="center"/>
    </xf>
    <xf numFmtId="0" fontId="108" fillId="27" borderId="31" xfId="0" applyFont="1" applyFill="1" applyBorder="1" applyAlignment="1">
      <alignment vertical="center" wrapText="1"/>
    </xf>
    <xf numFmtId="0" fontId="108" fillId="27" borderId="0" xfId="0" applyFont="1" applyFill="1" applyAlignment="1">
      <alignment vertical="center" wrapText="1"/>
    </xf>
    <xf numFmtId="0" fontId="108" fillId="27" borderId="0" xfId="0" applyFont="1" applyFill="1" applyAlignment="1">
      <alignment horizontal="center" vertical="center" wrapText="1"/>
    </xf>
    <xf numFmtId="0" fontId="108" fillId="27" borderId="31" xfId="0" applyFont="1" applyFill="1" applyBorder="1" applyAlignment="1">
      <alignment horizontal="center" vertical="center" wrapText="1"/>
    </xf>
    <xf numFmtId="0" fontId="8" fillId="32" borderId="10" xfId="0" applyFont="1" applyFill="1" applyBorder="1" applyAlignment="1">
      <alignment horizontal="center"/>
    </xf>
    <xf numFmtId="0" fontId="13" fillId="32" borderId="10" xfId="0" applyFont="1" applyFill="1" applyBorder="1" applyAlignment="1">
      <alignment horizontal="center" vertical="top" wrapText="1"/>
    </xf>
    <xf numFmtId="167" fontId="19" fillId="2" borderId="10" xfId="0" applyNumberFormat="1" applyFont="1" applyFill="1" applyBorder="1" applyAlignment="1">
      <alignment horizontal="center"/>
    </xf>
    <xf numFmtId="9" fontId="19" fillId="2" borderId="0" xfId="1" applyFont="1" applyFill="1" applyBorder="1" applyAlignment="1">
      <alignment horizontal="center"/>
    </xf>
    <xf numFmtId="0" fontId="19" fillId="2" borderId="10" xfId="0" applyFont="1" applyFill="1" applyBorder="1" applyAlignment="1">
      <alignment horizontal="center"/>
    </xf>
    <xf numFmtId="9" fontId="19" fillId="2" borderId="0" xfId="0" applyNumberFormat="1" applyFont="1" applyFill="1" applyAlignment="1">
      <alignment horizontal="center" vertical="center"/>
    </xf>
    <xf numFmtId="0" fontId="125" fillId="27" borderId="10" xfId="0" applyFont="1" applyFill="1" applyBorder="1" applyAlignment="1">
      <alignment horizontal="center" vertical="center"/>
    </xf>
    <xf numFmtId="0" fontId="8" fillId="32" borderId="10" xfId="0" applyFont="1" applyFill="1" applyBorder="1" applyAlignment="1">
      <alignment horizontal="center" wrapText="1"/>
    </xf>
    <xf numFmtId="9" fontId="19" fillId="2" borderId="10" xfId="0" applyNumberFormat="1" applyFont="1" applyFill="1" applyBorder="1" applyAlignment="1">
      <alignment horizontal="center"/>
    </xf>
    <xf numFmtId="1" fontId="19" fillId="2" borderId="10" xfId="0" applyNumberFormat="1" applyFont="1" applyFill="1" applyBorder="1" applyAlignment="1">
      <alignment horizontal="center"/>
    </xf>
    <xf numFmtId="9" fontId="19" fillId="2" borderId="10" xfId="0" applyNumberFormat="1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41" fillId="11" borderId="10" xfId="0" applyFont="1" applyFill="1" applyBorder="1" applyAlignment="1">
      <alignment horizontal="center" vertical="center"/>
    </xf>
    <xf numFmtId="0" fontId="8" fillId="12" borderId="10" xfId="0" applyFont="1" applyFill="1" applyBorder="1" applyAlignment="1">
      <alignment horizontal="center" vertical="center"/>
    </xf>
    <xf numFmtId="0" fontId="75" fillId="15" borderId="10" xfId="0" applyFont="1" applyFill="1" applyBorder="1" applyAlignment="1">
      <alignment horizontal="center" vertical="center"/>
    </xf>
    <xf numFmtId="0" fontId="73" fillId="2" borderId="0" xfId="0" applyFont="1" applyFill="1" applyAlignment="1">
      <alignment horizontal="center"/>
    </xf>
    <xf numFmtId="0" fontId="8" fillId="13" borderId="10" xfId="0" applyFont="1" applyFill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172" fontId="19" fillId="2" borderId="10" xfId="0" applyNumberFormat="1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 vertical="top" wrapText="1"/>
    </xf>
    <xf numFmtId="2" fontId="19" fillId="2" borderId="10" xfId="0" applyNumberFormat="1" applyFont="1" applyFill="1" applyBorder="1" applyAlignment="1">
      <alignment horizontal="center"/>
    </xf>
    <xf numFmtId="0" fontId="11" fillId="16" borderId="0" xfId="0" applyFont="1" applyFill="1" applyAlignment="1">
      <alignment horizontal="left"/>
    </xf>
    <xf numFmtId="1" fontId="79" fillId="2" borderId="0" xfId="0" applyNumberFormat="1" applyFont="1" applyFill="1" applyAlignment="1">
      <alignment horizontal="center" vertical="center"/>
    </xf>
    <xf numFmtId="9" fontId="79" fillId="2" borderId="0" xfId="1" applyFont="1" applyFill="1" applyBorder="1" applyAlignment="1">
      <alignment horizontal="center" vertical="center"/>
    </xf>
    <xf numFmtId="0" fontId="78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horizontal="center" vertical="center"/>
    </xf>
    <xf numFmtId="1" fontId="19" fillId="2" borderId="0" xfId="0" applyNumberFormat="1" applyFont="1" applyFill="1" applyAlignment="1">
      <alignment vertical="center"/>
    </xf>
    <xf numFmtId="1" fontId="88" fillId="2" borderId="0" xfId="0" applyNumberFormat="1" applyFont="1" applyFill="1" applyAlignment="1">
      <alignment vertical="center"/>
    </xf>
    <xf numFmtId="9" fontId="12" fillId="2" borderId="0" xfId="0" applyNumberFormat="1" applyFont="1" applyFill="1" applyAlignment="1">
      <alignment horizontal="center" vertical="center"/>
    </xf>
    <xf numFmtId="0" fontId="137" fillId="17" borderId="13" xfId="0" applyFont="1" applyFill="1" applyBorder="1" applyAlignment="1">
      <alignment horizontal="center" vertical="center"/>
    </xf>
    <xf numFmtId="0" fontId="137" fillId="17" borderId="25" xfId="0" applyFont="1" applyFill="1" applyBorder="1" applyAlignment="1">
      <alignment horizontal="center" vertical="center"/>
    </xf>
    <xf numFmtId="9" fontId="139" fillId="2" borderId="0" xfId="1" applyFont="1" applyFill="1" applyBorder="1" applyAlignment="1">
      <alignment horizontal="center" vertical="center"/>
    </xf>
    <xf numFmtId="164" fontId="139" fillId="2" borderId="0" xfId="1" applyNumberFormat="1" applyFont="1" applyFill="1" applyBorder="1" applyAlignment="1">
      <alignment horizontal="center" vertical="center"/>
    </xf>
    <xf numFmtId="9" fontId="139" fillId="2" borderId="65" xfId="1" applyFont="1" applyFill="1" applyBorder="1" applyAlignment="1">
      <alignment horizontal="left" vertical="center"/>
    </xf>
    <xf numFmtId="9" fontId="139" fillId="2" borderId="66" xfId="1" applyFont="1" applyFill="1" applyBorder="1" applyAlignment="1">
      <alignment horizontal="left" vertical="center"/>
    </xf>
    <xf numFmtId="1" fontId="139" fillId="2" borderId="66" xfId="0" applyNumberFormat="1" applyFont="1" applyFill="1" applyBorder="1" applyAlignment="1">
      <alignment horizontal="left"/>
    </xf>
    <xf numFmtId="0" fontId="139" fillId="2" borderId="68" xfId="0" applyFont="1" applyFill="1" applyBorder="1" applyAlignment="1">
      <alignment horizontal="left" vertical="center" wrapText="1"/>
    </xf>
    <xf numFmtId="9" fontId="139" fillId="2" borderId="67" xfId="1" applyFont="1" applyFill="1" applyBorder="1" applyAlignment="1">
      <alignment horizontal="center" vertical="center"/>
    </xf>
    <xf numFmtId="164" fontId="34" fillId="2" borderId="70" xfId="1" applyNumberFormat="1" applyFont="1" applyFill="1" applyBorder="1" applyAlignment="1">
      <alignment horizontal="center" vertical="center"/>
    </xf>
    <xf numFmtId="9" fontId="139" fillId="2" borderId="65" xfId="1" applyFont="1" applyFill="1" applyBorder="1" applyAlignment="1">
      <alignment horizontal="center" vertical="center"/>
    </xf>
    <xf numFmtId="164" fontId="139" fillId="2" borderId="66" xfId="1" applyNumberFormat="1" applyFont="1" applyFill="1" applyBorder="1" applyAlignment="1">
      <alignment horizontal="center" vertical="center"/>
    </xf>
    <xf numFmtId="9" fontId="139" fillId="2" borderId="66" xfId="1" applyFont="1" applyFill="1" applyBorder="1" applyAlignment="1">
      <alignment horizontal="center" vertical="center"/>
    </xf>
    <xf numFmtId="10" fontId="139" fillId="2" borderId="66" xfId="1" applyNumberFormat="1" applyFont="1" applyFill="1" applyBorder="1" applyAlignment="1">
      <alignment horizontal="center" vertical="center"/>
    </xf>
    <xf numFmtId="164" fontId="139" fillId="2" borderId="68" xfId="1" applyNumberFormat="1" applyFont="1" applyFill="1" applyBorder="1" applyAlignment="1">
      <alignment horizontal="center" vertical="center"/>
    </xf>
    <xf numFmtId="9" fontId="34" fillId="2" borderId="70" xfId="1" applyFont="1" applyFill="1" applyBorder="1" applyAlignment="1">
      <alignment horizontal="center" vertical="center"/>
    </xf>
    <xf numFmtId="9" fontId="139" fillId="2" borderId="68" xfId="1" applyFont="1" applyFill="1" applyBorder="1" applyAlignment="1">
      <alignment horizontal="center" vertical="center"/>
    </xf>
    <xf numFmtId="164" fontId="139" fillId="2" borderId="65" xfId="1" applyNumberFormat="1" applyFont="1" applyFill="1" applyBorder="1" applyAlignment="1">
      <alignment horizontal="center" vertical="center"/>
    </xf>
    <xf numFmtId="9" fontId="34" fillId="2" borderId="69" xfId="1" applyFont="1" applyFill="1" applyBorder="1" applyAlignment="1">
      <alignment horizontal="center" vertical="center"/>
    </xf>
    <xf numFmtId="164" fontId="34" fillId="2" borderId="69" xfId="1" applyNumberFormat="1" applyFont="1" applyFill="1" applyBorder="1" applyAlignment="1">
      <alignment horizontal="center" vertical="center"/>
    </xf>
    <xf numFmtId="0" fontId="139" fillId="2" borderId="70" xfId="0" applyFont="1" applyFill="1" applyBorder="1" applyAlignment="1">
      <alignment horizontal="left" vertical="center" wrapText="1"/>
    </xf>
    <xf numFmtId="0" fontId="136" fillId="17" borderId="31" xfId="0" applyFont="1" applyFill="1" applyBorder="1" applyAlignment="1">
      <alignment vertical="center" wrapText="1"/>
    </xf>
    <xf numFmtId="0" fontId="136" fillId="17" borderId="0" xfId="0" applyFont="1" applyFill="1" applyAlignment="1">
      <alignment vertical="center" wrapText="1"/>
    </xf>
    <xf numFmtId="0" fontId="136" fillId="17" borderId="0" xfId="0" applyFont="1" applyFill="1" applyAlignment="1">
      <alignment horizontal="center" vertical="center" wrapText="1"/>
    </xf>
    <xf numFmtId="0" fontId="140" fillId="17" borderId="0" xfId="0" applyFont="1" applyFill="1" applyAlignment="1">
      <alignment vertical="center"/>
    </xf>
    <xf numFmtId="0" fontId="140" fillId="17" borderId="0" xfId="0" applyFont="1" applyFill="1" applyAlignment="1">
      <alignment horizontal="center" vertical="center"/>
    </xf>
    <xf numFmtId="0" fontId="140" fillId="17" borderId="10" xfId="0" applyFont="1" applyFill="1" applyBorder="1" applyAlignment="1">
      <alignment horizontal="center" vertical="center"/>
    </xf>
    <xf numFmtId="0" fontId="143" fillId="18" borderId="13" xfId="0" applyFont="1" applyFill="1" applyBorder="1" applyAlignment="1">
      <alignment horizontal="center" vertical="center"/>
    </xf>
    <xf numFmtId="0" fontId="143" fillId="18" borderId="25" xfId="0" applyFont="1" applyFill="1" applyBorder="1" applyAlignment="1">
      <alignment horizontal="center" vertical="center"/>
    </xf>
    <xf numFmtId="1" fontId="145" fillId="2" borderId="71" xfId="0" applyNumberFormat="1" applyFont="1" applyFill="1" applyBorder="1" applyAlignment="1">
      <alignment horizontal="left" vertical="center"/>
    </xf>
    <xf numFmtId="1" fontId="145" fillId="2" borderId="72" xfId="0" applyNumberFormat="1" applyFont="1" applyFill="1" applyBorder="1" applyAlignment="1">
      <alignment horizontal="left" vertical="center"/>
    </xf>
    <xf numFmtId="0" fontId="145" fillId="2" borderId="73" xfId="0" applyFont="1" applyFill="1" applyBorder="1" applyAlignment="1">
      <alignment horizontal="left" vertical="center"/>
    </xf>
    <xf numFmtId="0" fontId="146" fillId="2" borderId="73" xfId="0" applyFont="1" applyFill="1" applyBorder="1" applyAlignment="1">
      <alignment horizontal="left" vertical="center"/>
    </xf>
    <xf numFmtId="1" fontId="146" fillId="2" borderId="74" xfId="1" applyNumberFormat="1" applyFont="1" applyFill="1" applyBorder="1" applyAlignment="1">
      <alignment horizontal="center" vertical="center"/>
    </xf>
    <xf numFmtId="9" fontId="146" fillId="2" borderId="73" xfId="1" applyFont="1" applyFill="1" applyBorder="1" applyAlignment="1">
      <alignment horizontal="center" vertical="center"/>
    </xf>
    <xf numFmtId="164" fontId="146" fillId="2" borderId="73" xfId="1" applyNumberFormat="1" applyFont="1" applyFill="1" applyBorder="1" applyAlignment="1">
      <alignment horizontal="center" vertical="center"/>
    </xf>
    <xf numFmtId="1" fontId="146" fillId="2" borderId="75" xfId="1" applyNumberFormat="1" applyFont="1" applyFill="1" applyBorder="1" applyAlignment="1">
      <alignment horizontal="center" vertical="center"/>
    </xf>
    <xf numFmtId="9" fontId="146" fillId="2" borderId="74" xfId="1" applyFont="1" applyFill="1" applyBorder="1" applyAlignment="1">
      <alignment horizontal="center" vertical="center"/>
    </xf>
    <xf numFmtId="1" fontId="145" fillId="2" borderId="0" xfId="0" applyNumberFormat="1" applyFont="1" applyFill="1" applyAlignment="1">
      <alignment horizontal="center" vertical="center"/>
    </xf>
    <xf numFmtId="9" fontId="145" fillId="2" borderId="71" xfId="1" applyFont="1" applyFill="1" applyBorder="1" applyAlignment="1">
      <alignment horizontal="center" vertical="center"/>
    </xf>
    <xf numFmtId="1" fontId="145" fillId="2" borderId="0" xfId="1" applyNumberFormat="1" applyFont="1" applyFill="1" applyBorder="1" applyAlignment="1">
      <alignment horizontal="center" vertical="center"/>
    </xf>
    <xf numFmtId="164" fontId="145" fillId="2" borderId="71" xfId="1" applyNumberFormat="1" applyFont="1" applyFill="1" applyBorder="1" applyAlignment="1">
      <alignment horizontal="center" vertical="center"/>
    </xf>
    <xf numFmtId="9" fontId="145" fillId="2" borderId="0" xfId="1" applyFont="1" applyFill="1" applyBorder="1" applyAlignment="1">
      <alignment horizontal="center" vertical="center"/>
    </xf>
    <xf numFmtId="9" fontId="145" fillId="2" borderId="72" xfId="1" applyFont="1" applyFill="1" applyBorder="1" applyAlignment="1">
      <alignment horizontal="center" vertical="center"/>
    </xf>
    <xf numFmtId="164" fontId="145" fillId="2" borderId="72" xfId="1" applyNumberFormat="1" applyFont="1" applyFill="1" applyBorder="1" applyAlignment="1">
      <alignment horizontal="center" vertical="center"/>
    </xf>
    <xf numFmtId="165" fontId="145" fillId="2" borderId="0" xfId="1" applyNumberFormat="1" applyFont="1" applyFill="1" applyBorder="1" applyAlignment="1">
      <alignment horizontal="center" vertical="center"/>
    </xf>
    <xf numFmtId="1" fontId="145" fillId="2" borderId="74" xfId="1" applyNumberFormat="1" applyFont="1" applyFill="1" applyBorder="1" applyAlignment="1">
      <alignment horizontal="center" vertical="center"/>
    </xf>
    <xf numFmtId="10" fontId="145" fillId="2" borderId="73" xfId="1" applyNumberFormat="1" applyFont="1" applyFill="1" applyBorder="1" applyAlignment="1">
      <alignment horizontal="center" vertical="center"/>
    </xf>
    <xf numFmtId="2" fontId="145" fillId="2" borderId="74" xfId="1" applyNumberFormat="1" applyFont="1" applyFill="1" applyBorder="1" applyAlignment="1">
      <alignment horizontal="center" vertical="center"/>
    </xf>
    <xf numFmtId="164" fontId="145" fillId="2" borderId="73" xfId="1" applyNumberFormat="1" applyFont="1" applyFill="1" applyBorder="1" applyAlignment="1">
      <alignment horizontal="center" vertical="center"/>
    </xf>
    <xf numFmtId="9" fontId="145" fillId="2" borderId="73" xfId="1" applyFont="1" applyFill="1" applyBorder="1" applyAlignment="1">
      <alignment horizontal="center" vertical="center"/>
    </xf>
    <xf numFmtId="9" fontId="145" fillId="2" borderId="74" xfId="1" applyFont="1" applyFill="1" applyBorder="1" applyAlignment="1">
      <alignment horizontal="center" vertical="center"/>
    </xf>
    <xf numFmtId="9" fontId="145" fillId="2" borderId="15" xfId="1" applyFont="1" applyFill="1" applyBorder="1" applyAlignment="1">
      <alignment horizontal="center" vertical="center"/>
    </xf>
    <xf numFmtId="0" fontId="75" fillId="18" borderId="0" xfId="0" applyFont="1" applyFill="1" applyAlignment="1">
      <alignment vertical="center"/>
    </xf>
    <xf numFmtId="0" fontId="75" fillId="18" borderId="0" xfId="0" applyFont="1" applyFill="1" applyAlignment="1">
      <alignment horizontal="center" vertical="center"/>
    </xf>
    <xf numFmtId="0" fontId="75" fillId="18" borderId="10" xfId="0" applyFont="1" applyFill="1" applyBorder="1" applyAlignment="1">
      <alignment horizontal="center" vertical="center"/>
    </xf>
    <xf numFmtId="0" fontId="147" fillId="18" borderId="0" xfId="0" applyFont="1" applyFill="1" applyAlignment="1">
      <alignment vertical="center"/>
    </xf>
    <xf numFmtId="9" fontId="148" fillId="2" borderId="0" xfId="1" applyFont="1" applyFill="1" applyBorder="1" applyAlignment="1">
      <alignment horizontal="center" vertical="center"/>
    </xf>
    <xf numFmtId="164" fontId="148" fillId="2" borderId="0" xfId="1" applyNumberFormat="1" applyFont="1" applyFill="1" applyBorder="1" applyAlignment="1">
      <alignment horizontal="center" vertical="center"/>
    </xf>
    <xf numFmtId="9" fontId="43" fillId="2" borderId="0" xfId="1" applyFont="1" applyFill="1" applyBorder="1" applyAlignment="1">
      <alignment horizontal="center" vertical="center"/>
    </xf>
    <xf numFmtId="0" fontId="43" fillId="2" borderId="0" xfId="0" applyFont="1" applyFill="1" applyAlignment="1">
      <alignment horizontal="left"/>
    </xf>
    <xf numFmtId="0" fontId="148" fillId="2" borderId="0" xfId="0" applyFont="1" applyFill="1" applyAlignment="1">
      <alignment horizontal="center"/>
    </xf>
    <xf numFmtId="1" fontId="148" fillId="2" borderId="0" xfId="0" applyNumberFormat="1" applyFont="1" applyFill="1" applyAlignment="1">
      <alignment horizontal="center" vertical="center"/>
    </xf>
    <xf numFmtId="1" fontId="148" fillId="2" borderId="0" xfId="1" applyNumberFormat="1" applyFont="1" applyFill="1" applyBorder="1" applyAlignment="1">
      <alignment horizontal="center" vertical="center"/>
    </xf>
    <xf numFmtId="165" fontId="148" fillId="2" borderId="0" xfId="1" applyNumberFormat="1" applyFont="1" applyFill="1" applyBorder="1" applyAlignment="1">
      <alignment horizontal="center" vertical="center"/>
    </xf>
    <xf numFmtId="0" fontId="150" fillId="19" borderId="13" xfId="0" applyFont="1" applyFill="1" applyBorder="1" applyAlignment="1">
      <alignment horizontal="center" vertical="center"/>
    </xf>
    <xf numFmtId="0" fontId="150" fillId="19" borderId="25" xfId="0" applyFont="1" applyFill="1" applyBorder="1" applyAlignment="1">
      <alignment horizontal="center" vertical="center"/>
    </xf>
    <xf numFmtId="1" fontId="148" fillId="2" borderId="76" xfId="0" applyNumberFormat="1" applyFont="1" applyFill="1" applyBorder="1" applyAlignment="1">
      <alignment vertical="center"/>
    </xf>
    <xf numFmtId="1" fontId="148" fillId="2" borderId="77" xfId="0" applyNumberFormat="1" applyFont="1" applyFill="1" applyBorder="1" applyAlignment="1">
      <alignment vertical="center"/>
    </xf>
    <xf numFmtId="9" fontId="148" fillId="2" borderId="76" xfId="1" applyFont="1" applyFill="1" applyBorder="1" applyAlignment="1">
      <alignment horizontal="center" vertical="center"/>
    </xf>
    <xf numFmtId="9" fontId="148" fillId="2" borderId="77" xfId="1" applyFont="1" applyFill="1" applyBorder="1" applyAlignment="1">
      <alignment horizontal="center" vertical="center"/>
    </xf>
    <xf numFmtId="164" fontId="148" fillId="2" borderId="76" xfId="1" applyNumberFormat="1" applyFont="1" applyFill="1" applyBorder="1" applyAlignment="1">
      <alignment horizontal="center" vertical="center"/>
    </xf>
    <xf numFmtId="164" fontId="148" fillId="2" borderId="77" xfId="1" applyNumberFormat="1" applyFont="1" applyFill="1" applyBorder="1" applyAlignment="1">
      <alignment horizontal="center" vertical="center"/>
    </xf>
    <xf numFmtId="10" fontId="148" fillId="2" borderId="77" xfId="1" applyNumberFormat="1" applyFont="1" applyFill="1" applyBorder="1" applyAlignment="1">
      <alignment horizontal="center" vertical="center"/>
    </xf>
    <xf numFmtId="9" fontId="43" fillId="2" borderId="78" xfId="1" applyFont="1" applyFill="1" applyBorder="1" applyAlignment="1">
      <alignment horizontal="center" vertical="center"/>
    </xf>
    <xf numFmtId="1" fontId="43" fillId="2" borderId="79" xfId="1" applyNumberFormat="1" applyFont="1" applyFill="1" applyBorder="1" applyAlignment="1">
      <alignment horizontal="center" vertical="center"/>
    </xf>
    <xf numFmtId="164" fontId="43" fillId="2" borderId="78" xfId="1" applyNumberFormat="1" applyFont="1" applyFill="1" applyBorder="1" applyAlignment="1">
      <alignment horizontal="center" vertical="center"/>
    </xf>
    <xf numFmtId="1" fontId="43" fillId="2" borderId="80" xfId="1" applyNumberFormat="1" applyFont="1" applyFill="1" applyBorder="1" applyAlignment="1">
      <alignment horizontal="center" vertical="center"/>
    </xf>
    <xf numFmtId="9" fontId="43" fillId="2" borderId="81" xfId="1" applyFont="1" applyFill="1" applyBorder="1" applyAlignment="1">
      <alignment horizontal="center" vertical="center"/>
    </xf>
    <xf numFmtId="164" fontId="43" fillId="2" borderId="81" xfId="1" applyNumberFormat="1" applyFont="1" applyFill="1" applyBorder="1" applyAlignment="1">
      <alignment horizontal="center" vertical="center"/>
    </xf>
    <xf numFmtId="164" fontId="43" fillId="2" borderId="80" xfId="1" applyNumberFormat="1" applyFont="1" applyFill="1" applyBorder="1" applyAlignment="1">
      <alignment horizontal="center" vertical="center"/>
    </xf>
    <xf numFmtId="0" fontId="43" fillId="2" borderId="81" xfId="0" applyFont="1" applyFill="1" applyBorder="1" applyAlignment="1">
      <alignment horizontal="left" vertical="center"/>
    </xf>
    <xf numFmtId="0" fontId="43" fillId="2" borderId="78" xfId="0" applyFont="1" applyFill="1" applyBorder="1" applyAlignment="1">
      <alignment horizontal="left" vertical="center"/>
    </xf>
    <xf numFmtId="1" fontId="148" fillId="2" borderId="78" xfId="0" applyNumberFormat="1" applyFont="1" applyFill="1" applyBorder="1" applyAlignment="1">
      <alignment vertical="center"/>
    </xf>
    <xf numFmtId="165" fontId="148" fillId="2" borderId="79" xfId="1" applyNumberFormat="1" applyFont="1" applyFill="1" applyBorder="1" applyAlignment="1">
      <alignment horizontal="center" vertical="center"/>
    </xf>
    <xf numFmtId="164" fontId="148" fillId="2" borderId="78" xfId="1" applyNumberFormat="1" applyFont="1" applyFill="1" applyBorder="1" applyAlignment="1">
      <alignment horizontal="center" vertical="center"/>
    </xf>
    <xf numFmtId="9" fontId="148" fillId="2" borderId="78" xfId="1" applyFont="1" applyFill="1" applyBorder="1" applyAlignment="1">
      <alignment horizontal="center" vertical="center"/>
    </xf>
    <xf numFmtId="9" fontId="148" fillId="2" borderId="79" xfId="1" applyFont="1" applyFill="1" applyBorder="1" applyAlignment="1">
      <alignment horizontal="center" vertical="center"/>
    </xf>
    <xf numFmtId="2" fontId="148" fillId="2" borderId="0" xfId="1" applyNumberFormat="1" applyFont="1" applyFill="1" applyBorder="1" applyAlignment="1">
      <alignment horizontal="center" vertical="center"/>
    </xf>
    <xf numFmtId="1" fontId="148" fillId="6" borderId="76" xfId="0" applyNumberFormat="1" applyFont="1" applyFill="1" applyBorder="1" applyAlignment="1">
      <alignment vertical="center"/>
    </xf>
    <xf numFmtId="1" fontId="148" fillId="6" borderId="77" xfId="0" applyNumberFormat="1" applyFont="1" applyFill="1" applyBorder="1" applyAlignment="1">
      <alignment vertical="center"/>
    </xf>
    <xf numFmtId="1" fontId="148" fillId="6" borderId="77" xfId="0" applyNumberFormat="1" applyFont="1" applyFill="1" applyBorder="1"/>
    <xf numFmtId="1" fontId="148" fillId="6" borderId="78" xfId="0" applyNumberFormat="1" applyFont="1" applyFill="1" applyBorder="1"/>
    <xf numFmtId="1" fontId="148" fillId="2" borderId="79" xfId="0" applyNumberFormat="1" applyFont="1" applyFill="1" applyBorder="1" applyAlignment="1">
      <alignment horizontal="center" vertical="center"/>
    </xf>
    <xf numFmtId="2" fontId="148" fillId="2" borderId="79" xfId="1" applyNumberFormat="1" applyFont="1" applyFill="1" applyBorder="1" applyAlignment="1">
      <alignment horizontal="center" vertical="center"/>
    </xf>
    <xf numFmtId="164" fontId="43" fillId="2" borderId="79" xfId="1" applyNumberFormat="1" applyFont="1" applyFill="1" applyBorder="1" applyAlignment="1">
      <alignment horizontal="center" vertical="center"/>
    </xf>
    <xf numFmtId="165" fontId="148" fillId="2" borderId="0" xfId="0" applyNumberFormat="1" applyFont="1" applyFill="1" applyAlignment="1">
      <alignment horizontal="center" vertical="center"/>
    </xf>
    <xf numFmtId="165" fontId="148" fillId="2" borderId="79" xfId="0" applyNumberFormat="1" applyFont="1" applyFill="1" applyBorder="1" applyAlignment="1">
      <alignment horizontal="center" vertical="center"/>
    </xf>
    <xf numFmtId="0" fontId="149" fillId="19" borderId="0" xfId="0" applyFont="1" applyFill="1" applyAlignment="1">
      <alignment horizontal="center" vertical="center" wrapText="1"/>
    </xf>
    <xf numFmtId="0" fontId="136" fillId="17" borderId="31" xfId="0" applyFont="1" applyFill="1" applyBorder="1" applyAlignment="1">
      <alignment horizontal="center" vertical="center" wrapText="1"/>
    </xf>
    <xf numFmtId="0" fontId="142" fillId="18" borderId="0" xfId="0" applyFont="1" applyFill="1" applyAlignment="1">
      <alignment horizontal="center" vertical="center" wrapText="1"/>
    </xf>
    <xf numFmtId="1" fontId="139" fillId="2" borderId="0" xfId="1" applyNumberFormat="1" applyFont="1" applyFill="1" applyBorder="1" applyAlignment="1">
      <alignment horizontal="center" vertical="center"/>
    </xf>
    <xf numFmtId="165" fontId="139" fillId="2" borderId="0" xfId="1" applyNumberFormat="1" applyFont="1" applyFill="1" applyBorder="1" applyAlignment="1">
      <alignment horizontal="center" vertical="center"/>
    </xf>
    <xf numFmtId="1" fontId="139" fillId="2" borderId="0" xfId="0" applyNumberFormat="1" applyFont="1" applyFill="1" applyAlignment="1">
      <alignment horizontal="center" vertical="center"/>
    </xf>
    <xf numFmtId="2" fontId="139" fillId="2" borderId="0" xfId="1" applyNumberFormat="1" applyFont="1" applyFill="1" applyBorder="1" applyAlignment="1">
      <alignment horizontal="center" vertical="center"/>
    </xf>
    <xf numFmtId="1" fontId="139" fillId="2" borderId="67" xfId="1" applyNumberFormat="1" applyFont="1" applyFill="1" applyBorder="1" applyAlignment="1">
      <alignment horizontal="center" vertical="center"/>
    </xf>
    <xf numFmtId="165" fontId="139" fillId="2" borderId="67" xfId="1" applyNumberFormat="1" applyFont="1" applyFill="1" applyBorder="1" applyAlignment="1">
      <alignment horizontal="center" vertical="center"/>
    </xf>
    <xf numFmtId="1" fontId="34" fillId="2" borderId="69" xfId="1" applyNumberFormat="1" applyFont="1" applyFill="1" applyBorder="1" applyAlignment="1">
      <alignment horizontal="center" vertical="center"/>
    </xf>
    <xf numFmtId="0" fontId="152" fillId="15" borderId="0" xfId="0" applyFont="1" applyFill="1" applyAlignment="1">
      <alignment vertical="center"/>
    </xf>
    <xf numFmtId="1" fontId="88" fillId="2" borderId="6" xfId="1" applyNumberFormat="1" applyFont="1" applyFill="1" applyBorder="1" applyAlignment="1">
      <alignment horizontal="center" vertical="center"/>
    </xf>
    <xf numFmtId="0" fontId="153" fillId="20" borderId="0" xfId="0" applyFont="1" applyFill="1" applyAlignment="1">
      <alignment horizontal="center" vertical="center" wrapText="1"/>
    </xf>
    <xf numFmtId="0" fontId="154" fillId="20" borderId="13" xfId="0" applyFont="1" applyFill="1" applyBorder="1" applyAlignment="1">
      <alignment horizontal="center" vertical="center"/>
    </xf>
    <xf numFmtId="0" fontId="154" fillId="20" borderId="25" xfId="0" applyFont="1" applyFill="1" applyBorder="1" applyAlignment="1">
      <alignment horizontal="center" vertical="center"/>
    </xf>
    <xf numFmtId="1" fontId="156" fillId="2" borderId="0" xfId="0" applyNumberFormat="1" applyFont="1" applyFill="1" applyAlignment="1">
      <alignment horizontal="center" vertical="center"/>
    </xf>
    <xf numFmtId="1" fontId="156" fillId="2" borderId="0" xfId="1" applyNumberFormat="1" applyFont="1" applyFill="1" applyBorder="1" applyAlignment="1">
      <alignment horizontal="center" vertical="center"/>
    </xf>
    <xf numFmtId="9" fontId="156" fillId="2" borderId="0" xfId="1" applyFont="1" applyFill="1" applyBorder="1" applyAlignment="1">
      <alignment horizontal="center" vertical="center"/>
    </xf>
    <xf numFmtId="164" fontId="156" fillId="2" borderId="0" xfId="1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/>
    </xf>
    <xf numFmtId="1" fontId="154" fillId="2" borderId="85" xfId="0" applyNumberFormat="1" applyFont="1" applyFill="1" applyBorder="1" applyAlignment="1">
      <alignment vertical="center"/>
    </xf>
    <xf numFmtId="1" fontId="154" fillId="2" borderId="84" xfId="0" applyNumberFormat="1" applyFont="1" applyFill="1" applyBorder="1" applyAlignment="1">
      <alignment vertical="center"/>
    </xf>
    <xf numFmtId="1" fontId="154" fillId="2" borderId="87" xfId="0" applyNumberFormat="1" applyFont="1" applyFill="1" applyBorder="1" applyAlignment="1">
      <alignment vertical="center"/>
    </xf>
    <xf numFmtId="1" fontId="156" fillId="2" borderId="86" xfId="1" applyNumberFormat="1" applyFont="1" applyFill="1" applyBorder="1" applyAlignment="1">
      <alignment horizontal="center" vertical="center"/>
    </xf>
    <xf numFmtId="9" fontId="156" fillId="2" borderId="86" xfId="1" applyFont="1" applyFill="1" applyBorder="1" applyAlignment="1">
      <alignment horizontal="center" vertical="center"/>
    </xf>
    <xf numFmtId="1" fontId="153" fillId="2" borderId="87" xfId="0" applyNumberFormat="1" applyFont="1" applyFill="1" applyBorder="1" applyAlignment="1">
      <alignment vertical="center"/>
    </xf>
    <xf numFmtId="1" fontId="49" fillId="2" borderId="86" xfId="1" applyNumberFormat="1" applyFont="1" applyFill="1" applyBorder="1" applyAlignment="1">
      <alignment horizontal="center" vertical="center"/>
    </xf>
    <xf numFmtId="9" fontId="49" fillId="2" borderId="86" xfId="1" applyFont="1" applyFill="1" applyBorder="1" applyAlignment="1">
      <alignment horizontal="center" vertical="center"/>
    </xf>
    <xf numFmtId="165" fontId="156" fillId="2" borderId="0" xfId="1" applyNumberFormat="1" applyFont="1" applyFill="1" applyBorder="1" applyAlignment="1">
      <alignment horizontal="center" vertical="center"/>
    </xf>
    <xf numFmtId="165" fontId="156" fillId="2" borderId="86" xfId="1" applyNumberFormat="1" applyFont="1" applyFill="1" applyBorder="1" applyAlignment="1">
      <alignment horizontal="center" vertical="center"/>
    </xf>
    <xf numFmtId="2" fontId="49" fillId="2" borderId="86" xfId="1" applyNumberFormat="1" applyFont="1" applyFill="1" applyBorder="1" applyAlignment="1">
      <alignment horizontal="center" vertical="center"/>
    </xf>
    <xf numFmtId="164" fontId="156" fillId="2" borderId="85" xfId="1" applyNumberFormat="1" applyFont="1" applyFill="1" applyBorder="1" applyAlignment="1">
      <alignment horizontal="center" vertical="center"/>
    </xf>
    <xf numFmtId="9" fontId="156" fillId="2" borderId="84" xfId="1" applyFont="1" applyFill="1" applyBorder="1" applyAlignment="1">
      <alignment horizontal="center" vertical="center"/>
    </xf>
    <xf numFmtId="164" fontId="156" fillId="2" borderId="84" xfId="1" applyNumberFormat="1" applyFont="1" applyFill="1" applyBorder="1" applyAlignment="1">
      <alignment horizontal="center" vertical="center"/>
    </xf>
    <xf numFmtId="10" fontId="156" fillId="2" borderId="87" xfId="1" applyNumberFormat="1" applyFont="1" applyFill="1" applyBorder="1" applyAlignment="1">
      <alignment horizontal="center" vertical="center"/>
    </xf>
    <xf numFmtId="9" fontId="49" fillId="2" borderId="87" xfId="1" applyFont="1" applyFill="1" applyBorder="1" applyAlignment="1">
      <alignment horizontal="center" vertical="center"/>
    </xf>
    <xf numFmtId="10" fontId="156" fillId="2" borderId="84" xfId="1" applyNumberFormat="1" applyFont="1" applyFill="1" applyBorder="1" applyAlignment="1">
      <alignment horizontal="center" vertical="center"/>
    </xf>
    <xf numFmtId="9" fontId="156" fillId="2" borderId="87" xfId="1" applyFont="1" applyFill="1" applyBorder="1" applyAlignment="1">
      <alignment horizontal="center" vertical="center"/>
    </xf>
    <xf numFmtId="173" fontId="49" fillId="2" borderId="87" xfId="1" applyNumberFormat="1" applyFont="1" applyFill="1" applyBorder="1" applyAlignment="1">
      <alignment horizontal="center" vertical="center"/>
    </xf>
    <xf numFmtId="9" fontId="156" fillId="2" borderId="85" xfId="1" applyFont="1" applyFill="1" applyBorder="1" applyAlignment="1">
      <alignment horizontal="center" vertical="center"/>
    </xf>
    <xf numFmtId="10" fontId="49" fillId="2" borderId="87" xfId="1" applyNumberFormat="1" applyFont="1" applyFill="1" applyBorder="1" applyAlignment="1">
      <alignment horizontal="center" vertical="center"/>
    </xf>
    <xf numFmtId="1" fontId="154" fillId="2" borderId="85" xfId="0" applyNumberFormat="1" applyFont="1" applyFill="1" applyBorder="1" applyAlignment="1">
      <alignment horizontal="left" vertical="center"/>
    </xf>
    <xf numFmtId="1" fontId="154" fillId="2" borderId="84" xfId="0" applyNumberFormat="1" applyFont="1" applyFill="1" applyBorder="1" applyAlignment="1">
      <alignment horizontal="left" vertical="center"/>
    </xf>
    <xf numFmtId="164" fontId="49" fillId="2" borderId="87" xfId="1" applyNumberFormat="1" applyFont="1" applyFill="1" applyBorder="1" applyAlignment="1">
      <alignment horizontal="center" vertical="center"/>
    </xf>
    <xf numFmtId="1" fontId="153" fillId="2" borderId="87" xfId="0" applyNumberFormat="1" applyFont="1" applyFill="1" applyBorder="1" applyAlignment="1">
      <alignment horizontal="left" vertical="center"/>
    </xf>
    <xf numFmtId="1" fontId="154" fillId="2" borderId="87" xfId="0" applyNumberFormat="1" applyFont="1" applyFill="1" applyBorder="1" applyAlignment="1">
      <alignment horizontal="left" vertical="center"/>
    </xf>
    <xf numFmtId="1" fontId="160" fillId="6" borderId="0" xfId="1" applyNumberFormat="1" applyFont="1" applyFill="1" applyBorder="1" applyAlignment="1">
      <alignment horizontal="center" vertical="center"/>
    </xf>
    <xf numFmtId="1" fontId="160" fillId="2" borderId="0" xfId="1" applyNumberFormat="1" applyFont="1" applyFill="1" applyBorder="1" applyAlignment="1">
      <alignment horizontal="center" vertical="center"/>
    </xf>
    <xf numFmtId="9" fontId="160" fillId="2" borderId="0" xfId="1" applyFont="1" applyFill="1" applyBorder="1" applyAlignment="1">
      <alignment horizontal="center" vertical="center"/>
    </xf>
    <xf numFmtId="0" fontId="157" fillId="37" borderId="0" xfId="0" applyFont="1" applyFill="1" applyAlignment="1">
      <alignment horizontal="center" vertical="center" wrapText="1"/>
    </xf>
    <xf numFmtId="0" fontId="158" fillId="37" borderId="13" xfId="0" applyFont="1" applyFill="1" applyBorder="1" applyAlignment="1">
      <alignment horizontal="center" vertical="center"/>
    </xf>
    <xf numFmtId="0" fontId="158" fillId="37" borderId="25" xfId="0" applyFont="1" applyFill="1" applyBorder="1" applyAlignment="1">
      <alignment horizontal="center" vertical="center"/>
    </xf>
    <xf numFmtId="165" fontId="160" fillId="6" borderId="0" xfId="1" applyNumberFormat="1" applyFont="1" applyFill="1" applyBorder="1" applyAlignment="1">
      <alignment horizontal="center" vertical="center"/>
    </xf>
    <xf numFmtId="1" fontId="160" fillId="2" borderId="88" xfId="0" applyNumberFormat="1" applyFont="1" applyFill="1" applyBorder="1" applyAlignment="1">
      <alignment horizontal="left" vertical="center"/>
    </xf>
    <xf numFmtId="1" fontId="160" fillId="2" borderId="89" xfId="0" applyNumberFormat="1" applyFont="1" applyFill="1" applyBorder="1" applyAlignment="1">
      <alignment horizontal="left" vertical="center"/>
    </xf>
    <xf numFmtId="2" fontId="160" fillId="2" borderId="0" xfId="1" applyNumberFormat="1" applyFont="1" applyFill="1" applyBorder="1" applyAlignment="1">
      <alignment horizontal="center" vertical="center"/>
    </xf>
    <xf numFmtId="165" fontId="160" fillId="2" borderId="0" xfId="1" applyNumberFormat="1" applyFont="1" applyFill="1" applyBorder="1" applyAlignment="1">
      <alignment horizontal="center" vertical="center"/>
    </xf>
    <xf numFmtId="9" fontId="160" fillId="2" borderId="88" xfId="1" applyFont="1" applyFill="1" applyBorder="1" applyAlignment="1">
      <alignment horizontal="center" vertical="center"/>
    </xf>
    <xf numFmtId="164" fontId="160" fillId="2" borderId="89" xfId="1" applyNumberFormat="1" applyFont="1" applyFill="1" applyBorder="1" applyAlignment="1">
      <alignment horizontal="center" vertical="center"/>
    </xf>
    <xf numFmtId="164" fontId="160" fillId="2" borderId="88" xfId="1" applyNumberFormat="1" applyFont="1" applyFill="1" applyBorder="1" applyAlignment="1">
      <alignment horizontal="center" vertical="center"/>
    </xf>
    <xf numFmtId="9" fontId="160" fillId="2" borderId="89" xfId="1" applyFont="1" applyFill="1" applyBorder="1" applyAlignment="1">
      <alignment horizontal="center" vertical="center"/>
    </xf>
    <xf numFmtId="1" fontId="160" fillId="2" borderId="91" xfId="0" applyNumberFormat="1" applyFont="1" applyFill="1" applyBorder="1" applyAlignment="1">
      <alignment horizontal="left" vertical="center"/>
    </xf>
    <xf numFmtId="1" fontId="160" fillId="6" borderId="90" xfId="1" applyNumberFormat="1" applyFont="1" applyFill="1" applyBorder="1" applyAlignment="1">
      <alignment horizontal="center" vertical="center"/>
    </xf>
    <xf numFmtId="164" fontId="160" fillId="2" borderId="91" xfId="1" applyNumberFormat="1" applyFont="1" applyFill="1" applyBorder="1" applyAlignment="1">
      <alignment horizontal="center" vertical="center"/>
    </xf>
    <xf numFmtId="2" fontId="160" fillId="2" borderId="90" xfId="1" applyNumberFormat="1" applyFont="1" applyFill="1" applyBorder="1" applyAlignment="1">
      <alignment horizontal="center" vertical="center"/>
    </xf>
    <xf numFmtId="165" fontId="160" fillId="2" borderId="90" xfId="1" applyNumberFormat="1" applyFont="1" applyFill="1" applyBorder="1" applyAlignment="1">
      <alignment horizontal="center" vertical="center"/>
    </xf>
    <xf numFmtId="9" fontId="160" fillId="2" borderId="91" xfId="1" applyFont="1" applyFill="1" applyBorder="1" applyAlignment="1">
      <alignment horizontal="center" vertical="center"/>
    </xf>
    <xf numFmtId="9" fontId="160" fillId="2" borderId="90" xfId="1" applyFont="1" applyFill="1" applyBorder="1" applyAlignment="1">
      <alignment horizontal="center" vertical="center"/>
    </xf>
    <xf numFmtId="0" fontId="52" fillId="2" borderId="91" xfId="0" applyFont="1" applyFill="1" applyBorder="1" applyAlignment="1">
      <alignment horizontal="left" vertical="center"/>
    </xf>
    <xf numFmtId="1" fontId="52" fillId="2" borderId="90" xfId="1" applyNumberFormat="1" applyFont="1" applyFill="1" applyBorder="1" applyAlignment="1">
      <alignment horizontal="center" vertical="center"/>
    </xf>
    <xf numFmtId="9" fontId="52" fillId="2" borderId="91" xfId="1" applyFont="1" applyFill="1" applyBorder="1" applyAlignment="1">
      <alignment horizontal="center" vertical="center"/>
    </xf>
    <xf numFmtId="164" fontId="52" fillId="2" borderId="91" xfId="1" applyNumberFormat="1" applyFont="1" applyFill="1" applyBorder="1" applyAlignment="1">
      <alignment horizontal="center" vertical="center"/>
    </xf>
    <xf numFmtId="9" fontId="52" fillId="2" borderId="90" xfId="1" applyFont="1" applyFill="1" applyBorder="1" applyAlignment="1">
      <alignment horizontal="center" vertical="center"/>
    </xf>
    <xf numFmtId="165" fontId="160" fillId="6" borderId="90" xfId="1" applyNumberFormat="1" applyFont="1" applyFill="1" applyBorder="1" applyAlignment="1">
      <alignment horizontal="center" vertical="center"/>
    </xf>
    <xf numFmtId="0" fontId="161" fillId="3" borderId="0" xfId="0" applyFont="1" applyFill="1" applyAlignment="1">
      <alignment vertical="center"/>
    </xf>
    <xf numFmtId="0" fontId="161" fillId="3" borderId="0" xfId="0" applyFont="1" applyFill="1" applyAlignment="1">
      <alignment horizontal="center" vertical="center"/>
    </xf>
    <xf numFmtId="0" fontId="161" fillId="37" borderId="0" xfId="0" applyFont="1" applyFill="1" applyAlignment="1">
      <alignment horizontal="center" vertical="center"/>
    </xf>
    <xf numFmtId="0" fontId="161" fillId="3" borderId="10" xfId="0" applyFont="1" applyFill="1" applyBorder="1" applyAlignment="1">
      <alignment horizontal="center" vertical="center"/>
    </xf>
    <xf numFmtId="0" fontId="162" fillId="20" borderId="0" xfId="0" applyFont="1" applyFill="1" applyAlignment="1">
      <alignment vertical="center"/>
    </xf>
    <xf numFmtId="0" fontId="162" fillId="20" borderId="0" xfId="0" applyFont="1" applyFill="1" applyAlignment="1">
      <alignment horizontal="center" vertical="center"/>
    </xf>
    <xf numFmtId="0" fontId="162" fillId="20" borderId="10" xfId="0" applyFont="1" applyFill="1" applyBorder="1" applyAlignment="1">
      <alignment horizontal="center" vertical="center"/>
    </xf>
    <xf numFmtId="0" fontId="92" fillId="38" borderId="0" xfId="0" applyFont="1" applyFill="1" applyAlignment="1">
      <alignment horizontal="center" vertical="center" wrapText="1"/>
    </xf>
    <xf numFmtId="0" fontId="5" fillId="38" borderId="13" xfId="0" applyFont="1" applyFill="1" applyBorder="1" applyAlignment="1">
      <alignment horizontal="center" vertical="center"/>
    </xf>
    <xf numFmtId="0" fontId="5" fillId="38" borderId="25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left" vertical="center"/>
    </xf>
    <xf numFmtId="9" fontId="54" fillId="2" borderId="4" xfId="1" applyFont="1" applyFill="1" applyBorder="1" applyAlignment="1">
      <alignment horizontal="center" vertical="center"/>
    </xf>
    <xf numFmtId="9" fontId="54" fillId="2" borderId="3" xfId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left" vertical="center"/>
    </xf>
    <xf numFmtId="9" fontId="6" fillId="2" borderId="4" xfId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left" vertical="center"/>
    </xf>
    <xf numFmtId="9" fontId="6" fillId="2" borderId="2" xfId="1" applyFont="1" applyFill="1" applyBorder="1" applyAlignment="1">
      <alignment horizontal="center" vertical="center"/>
    </xf>
    <xf numFmtId="9" fontId="6" fillId="2" borderId="0" xfId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vertical="center"/>
    </xf>
    <xf numFmtId="1" fontId="6" fillId="2" borderId="6" xfId="1" applyNumberFormat="1" applyFont="1" applyFill="1" applyBorder="1" applyAlignment="1">
      <alignment horizontal="center" vertical="center"/>
    </xf>
    <xf numFmtId="1" fontId="54" fillId="2" borderId="7" xfId="1" applyNumberFormat="1" applyFont="1" applyFill="1" applyBorder="1" applyAlignment="1">
      <alignment horizontal="center" vertical="center"/>
    </xf>
    <xf numFmtId="1" fontId="145" fillId="2" borderId="73" xfId="0" applyNumberFormat="1" applyFont="1" applyFill="1" applyBorder="1" applyAlignment="1">
      <alignment horizontal="left" vertical="center"/>
    </xf>
    <xf numFmtId="9" fontId="160" fillId="2" borderId="15" xfId="1" applyFont="1" applyFill="1" applyBorder="1" applyAlignment="1">
      <alignment horizontal="center" vertical="center"/>
    </xf>
    <xf numFmtId="1" fontId="6" fillId="2" borderId="92" xfId="0" applyNumberFormat="1" applyFont="1" applyFill="1" applyBorder="1" applyAlignment="1">
      <alignment horizontal="left" vertical="center"/>
    </xf>
    <xf numFmtId="9" fontId="6" fillId="2" borderId="92" xfId="1" applyFont="1" applyFill="1" applyBorder="1" applyAlignment="1">
      <alignment horizontal="center" vertical="center"/>
    </xf>
    <xf numFmtId="1" fontId="6" fillId="2" borderId="94" xfId="0" applyNumberFormat="1" applyFont="1" applyFill="1" applyBorder="1" applyAlignment="1">
      <alignment horizontal="left" vertical="center"/>
    </xf>
    <xf numFmtId="9" fontId="6" fillId="2" borderId="94" xfId="1" applyFont="1" applyFill="1" applyBorder="1" applyAlignment="1">
      <alignment horizontal="center" vertical="center"/>
    </xf>
    <xf numFmtId="9" fontId="6" fillId="2" borderId="93" xfId="1" applyFont="1" applyFill="1" applyBorder="1" applyAlignment="1">
      <alignment horizontal="center" vertical="center"/>
    </xf>
    <xf numFmtId="0" fontId="54" fillId="2" borderId="94" xfId="0" applyFont="1" applyFill="1" applyBorder="1" applyAlignment="1">
      <alignment horizontal="left" vertical="center"/>
    </xf>
    <xf numFmtId="9" fontId="54" fillId="2" borderId="94" xfId="1" applyFont="1" applyFill="1" applyBorder="1" applyAlignment="1">
      <alignment horizontal="center" vertical="center"/>
    </xf>
    <xf numFmtId="9" fontId="54" fillId="2" borderId="93" xfId="1" applyFont="1" applyFill="1" applyBorder="1" applyAlignment="1">
      <alignment horizontal="center" vertical="center"/>
    </xf>
    <xf numFmtId="1" fontId="88" fillId="2" borderId="0" xfId="1" applyNumberFormat="1" applyFont="1" applyFill="1" applyBorder="1" applyAlignment="1">
      <alignment vertical="center"/>
    </xf>
    <xf numFmtId="1" fontId="54" fillId="2" borderId="0" xfId="1" applyNumberFormat="1" applyFont="1" applyFill="1" applyBorder="1" applyAlignment="1">
      <alignment vertical="center"/>
    </xf>
    <xf numFmtId="1" fontId="6" fillId="2" borderId="15" xfId="1" applyNumberFormat="1" applyFont="1" applyFill="1" applyBorder="1" applyAlignment="1">
      <alignment horizontal="center" vertical="center"/>
    </xf>
    <xf numFmtId="1" fontId="6" fillId="2" borderId="93" xfId="1" applyNumberFormat="1" applyFont="1" applyFill="1" applyBorder="1" applyAlignment="1">
      <alignment horizontal="center" vertical="center"/>
    </xf>
    <xf numFmtId="1" fontId="54" fillId="2" borderId="93" xfId="1" applyNumberFormat="1" applyFont="1" applyFill="1" applyBorder="1" applyAlignment="1">
      <alignment horizontal="center" vertical="center"/>
    </xf>
    <xf numFmtId="0" fontId="164" fillId="16" borderId="0" xfId="0" applyFont="1" applyFill="1" applyAlignment="1">
      <alignment vertical="center"/>
    </xf>
    <xf numFmtId="0" fontId="164" fillId="16" borderId="0" xfId="0" applyFont="1" applyFill="1" applyAlignment="1">
      <alignment horizontal="center" vertical="center"/>
    </xf>
    <xf numFmtId="0" fontId="164" fillId="16" borderId="10" xfId="0" applyFont="1" applyFill="1" applyBorder="1" applyAlignment="1">
      <alignment horizontal="center" vertical="center"/>
    </xf>
    <xf numFmtId="1" fontId="33" fillId="2" borderId="0" xfId="0" applyNumberFormat="1" applyFont="1" applyFill="1" applyAlignment="1">
      <alignment vertical="center"/>
    </xf>
    <xf numFmtId="1" fontId="33" fillId="2" borderId="0" xfId="0" applyNumberFormat="1" applyFont="1" applyFill="1" applyAlignment="1">
      <alignment horizontal="center" vertical="center"/>
    </xf>
    <xf numFmtId="165" fontId="120" fillId="2" borderId="0" xfId="1" applyNumberFormat="1" applyFont="1" applyFill="1" applyBorder="1" applyAlignment="1">
      <alignment horizontal="center" vertical="center"/>
    </xf>
    <xf numFmtId="165" fontId="43" fillId="2" borderId="79" xfId="1" applyNumberFormat="1" applyFont="1" applyFill="1" applyBorder="1" applyAlignment="1">
      <alignment horizontal="center" vertical="center"/>
    </xf>
    <xf numFmtId="165" fontId="43" fillId="2" borderId="80" xfId="1" applyNumberFormat="1" applyFont="1" applyFill="1" applyBorder="1" applyAlignment="1">
      <alignment horizontal="center" vertical="center"/>
    </xf>
    <xf numFmtId="0" fontId="73" fillId="2" borderId="0" xfId="0" applyFont="1" applyFill="1"/>
    <xf numFmtId="9" fontId="12" fillId="16" borderId="0" xfId="1" applyFont="1" applyFill="1" applyAlignment="1">
      <alignment horizontal="center" vertical="center"/>
    </xf>
    <xf numFmtId="165" fontId="120" fillId="2" borderId="61" xfId="0" applyNumberFormat="1" applyFont="1" applyFill="1" applyBorder="1" applyAlignment="1">
      <alignment horizontal="center" vertical="center"/>
    </xf>
    <xf numFmtId="166" fontId="120" fillId="2" borderId="0" xfId="1" applyNumberFormat="1" applyFont="1" applyFill="1" applyBorder="1" applyAlignment="1">
      <alignment horizontal="center" vertical="center"/>
    </xf>
    <xf numFmtId="164" fontId="83" fillId="2" borderId="64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vertical="center" wrapText="1"/>
    </xf>
    <xf numFmtId="1" fontId="51" fillId="2" borderId="0" xfId="0" applyNumberFormat="1" applyFont="1" applyFill="1" applyAlignment="1">
      <alignment vertical="center"/>
    </xf>
    <xf numFmtId="1" fontId="165" fillId="2" borderId="0" xfId="0" applyNumberFormat="1" applyFont="1" applyFill="1" applyAlignment="1">
      <alignment vertical="center"/>
    </xf>
    <xf numFmtId="0" fontId="51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 wrapText="1"/>
    </xf>
    <xf numFmtId="0" fontId="127" fillId="2" borderId="0" xfId="0" applyFont="1" applyFill="1" applyAlignment="1">
      <alignment vertical="center"/>
    </xf>
    <xf numFmtId="0" fontId="119" fillId="2" borderId="0" xfId="0" applyFont="1" applyFill="1" applyAlignment="1">
      <alignment vertical="center"/>
    </xf>
    <xf numFmtId="0" fontId="166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 wrapText="1"/>
    </xf>
    <xf numFmtId="0" fontId="52" fillId="2" borderId="0" xfId="0" applyFont="1" applyFill="1" applyAlignment="1">
      <alignment vertical="center" wrapText="1"/>
    </xf>
    <xf numFmtId="0" fontId="54" fillId="2" borderId="0" xfId="0" applyFont="1" applyFill="1" applyAlignment="1">
      <alignment vertical="center" wrapText="1"/>
    </xf>
    <xf numFmtId="0" fontId="134" fillId="2" borderId="0" xfId="0" applyFont="1" applyFill="1" applyAlignment="1">
      <alignment vertical="center" wrapText="1"/>
    </xf>
    <xf numFmtId="0" fontId="127" fillId="2" borderId="0" xfId="0" applyFont="1" applyFill="1" applyAlignment="1">
      <alignment vertical="center" wrapText="1"/>
    </xf>
    <xf numFmtId="0" fontId="119" fillId="2" borderId="0" xfId="0" applyFont="1" applyFill="1" applyAlignment="1">
      <alignment vertical="center" wrapText="1"/>
    </xf>
    <xf numFmtId="2" fontId="103" fillId="30" borderId="18" xfId="0" applyNumberFormat="1" applyFont="1" applyFill="1" applyBorder="1" applyAlignment="1">
      <alignment horizontal="center" vertical="center"/>
    </xf>
    <xf numFmtId="165" fontId="113" fillId="2" borderId="41" xfId="1" applyNumberFormat="1" applyFont="1" applyFill="1" applyBorder="1" applyAlignment="1">
      <alignment horizontal="center" vertical="center"/>
    </xf>
    <xf numFmtId="10" fontId="113" fillId="2" borderId="33" xfId="1" applyNumberFormat="1" applyFont="1" applyFill="1" applyBorder="1" applyAlignment="1">
      <alignment horizontal="center" vertical="center"/>
    </xf>
    <xf numFmtId="167" fontId="120" fillId="2" borderId="0" xfId="0" applyNumberFormat="1" applyFont="1" applyFill="1" applyAlignment="1">
      <alignment horizontal="center" vertical="center"/>
    </xf>
    <xf numFmtId="10" fontId="83" fillId="2" borderId="54" xfId="1" applyNumberFormat="1" applyFont="1" applyFill="1" applyBorder="1" applyAlignment="1">
      <alignment horizontal="center" vertical="center"/>
    </xf>
    <xf numFmtId="173" fontId="83" fillId="2" borderId="52" xfId="1" applyNumberFormat="1" applyFont="1" applyFill="1" applyBorder="1" applyAlignment="1">
      <alignment horizontal="center" vertical="center"/>
    </xf>
    <xf numFmtId="10" fontId="120" fillId="2" borderId="0" xfId="1" applyNumberFormat="1" applyFont="1" applyFill="1" applyBorder="1" applyAlignment="1">
      <alignment horizontal="center" vertical="center"/>
    </xf>
    <xf numFmtId="9" fontId="129" fillId="2" borderId="58" xfId="1" applyFont="1" applyFill="1" applyBorder="1" applyAlignment="1">
      <alignment horizontal="center" vertical="center"/>
    </xf>
    <xf numFmtId="0" fontId="124" fillId="2" borderId="0" xfId="0" applyFont="1" applyFill="1" applyAlignment="1">
      <alignment horizontal="left" vertical="center"/>
    </xf>
    <xf numFmtId="0" fontId="124" fillId="2" borderId="0" xfId="0" applyFont="1" applyFill="1" applyAlignment="1">
      <alignment horizontal="left"/>
    </xf>
    <xf numFmtId="0" fontId="124" fillId="23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/>
    </xf>
    <xf numFmtId="0" fontId="167" fillId="2" borderId="0" xfId="0" applyFont="1" applyFill="1" applyAlignment="1">
      <alignment horizontal="left" vertical="center"/>
    </xf>
    <xf numFmtId="0" fontId="121" fillId="27" borderId="0" xfId="0" applyFont="1" applyFill="1" applyAlignment="1">
      <alignment horizontal="left" vertical="center"/>
    </xf>
    <xf numFmtId="0" fontId="137" fillId="17" borderId="0" xfId="0" applyFont="1" applyFill="1" applyAlignment="1">
      <alignment horizontal="left" vertical="center"/>
    </xf>
    <xf numFmtId="0" fontId="50" fillId="18" borderId="0" xfId="0" applyFont="1" applyFill="1" applyAlignment="1">
      <alignment horizontal="left" vertical="center"/>
    </xf>
    <xf numFmtId="0" fontId="50" fillId="15" borderId="0" xfId="0" applyFont="1" applyFill="1" applyAlignment="1">
      <alignment horizontal="left" vertical="center"/>
    </xf>
    <xf numFmtId="0" fontId="154" fillId="20" borderId="0" xfId="0" applyFont="1" applyFill="1" applyAlignment="1">
      <alignment horizontal="left" vertical="center"/>
    </xf>
    <xf numFmtId="0" fontId="158" fillId="3" borderId="0" xfId="0" applyFont="1" applyFill="1" applyAlignment="1">
      <alignment horizontal="left" vertical="center"/>
    </xf>
    <xf numFmtId="0" fontId="5" fillId="16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left"/>
    </xf>
    <xf numFmtId="0" fontId="42" fillId="32" borderId="0" xfId="0" applyFont="1" applyFill="1" applyAlignment="1">
      <alignment horizontal="left" vertical="center" wrapText="1"/>
    </xf>
    <xf numFmtId="0" fontId="42" fillId="10" borderId="0" xfId="0" applyFont="1" applyFill="1" applyAlignment="1">
      <alignment horizontal="left" vertical="center"/>
    </xf>
    <xf numFmtId="0" fontId="10" fillId="11" borderId="0" xfId="0" applyFont="1" applyFill="1" applyAlignment="1">
      <alignment horizontal="left" vertical="center"/>
    </xf>
    <xf numFmtId="0" fontId="42" fillId="12" borderId="0" xfId="0" applyFont="1" applyFill="1" applyAlignment="1">
      <alignment horizontal="left" vertical="center"/>
    </xf>
    <xf numFmtId="0" fontId="42" fillId="13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 vertical="center" wrapText="1"/>
    </xf>
    <xf numFmtId="10" fontId="43" fillId="2" borderId="81" xfId="1" applyNumberFormat="1" applyFont="1" applyFill="1" applyBorder="1" applyAlignment="1">
      <alignment horizontal="center" vertical="center"/>
    </xf>
    <xf numFmtId="10" fontId="43" fillId="2" borderId="78" xfId="1" applyNumberFormat="1" applyFont="1" applyFill="1" applyBorder="1" applyAlignment="1">
      <alignment horizontal="center" vertical="center"/>
    </xf>
    <xf numFmtId="2" fontId="148" fillId="2" borderId="0" xfId="0" applyNumberFormat="1" applyFont="1" applyFill="1" applyAlignment="1">
      <alignment horizontal="center" vertical="center"/>
    </xf>
    <xf numFmtId="167" fontId="156" fillId="2" borderId="0" xfId="1" applyNumberFormat="1" applyFont="1" applyFill="1" applyBorder="1" applyAlignment="1">
      <alignment horizontal="center" vertical="center"/>
    </xf>
    <xf numFmtId="10" fontId="156" fillId="2" borderId="85" xfId="1" applyNumberFormat="1" applyFont="1" applyFill="1" applyBorder="1" applyAlignment="1">
      <alignment horizontal="center" vertical="center"/>
    </xf>
    <xf numFmtId="165" fontId="49" fillId="2" borderId="86" xfId="1" applyNumberFormat="1" applyFont="1" applyFill="1" applyBorder="1" applyAlignment="1">
      <alignment horizontal="center" vertical="center"/>
    </xf>
    <xf numFmtId="166" fontId="49" fillId="2" borderId="3" xfId="1" applyNumberFormat="1" applyFont="1" applyFill="1" applyBorder="1" applyAlignment="1">
      <alignment horizontal="center" vertical="center"/>
    </xf>
    <xf numFmtId="165" fontId="52" fillId="2" borderId="90" xfId="1" applyNumberFormat="1" applyFont="1" applyFill="1" applyBorder="1" applyAlignment="1">
      <alignment horizontal="center" vertical="center"/>
    </xf>
    <xf numFmtId="165" fontId="6" fillId="2" borderId="93" xfId="1" applyNumberFormat="1" applyFont="1" applyFill="1" applyBorder="1" applyAlignment="1">
      <alignment horizontal="center" vertical="center"/>
    </xf>
    <xf numFmtId="164" fontId="6" fillId="2" borderId="94" xfId="1" applyNumberFormat="1" applyFont="1" applyFill="1" applyBorder="1" applyAlignment="1">
      <alignment horizontal="center" vertical="center"/>
    </xf>
    <xf numFmtId="164" fontId="6" fillId="2" borderId="92" xfId="1" applyNumberFormat="1" applyFont="1" applyFill="1" applyBorder="1" applyAlignment="1">
      <alignment horizontal="center" vertical="center"/>
    </xf>
    <xf numFmtId="164" fontId="54" fillId="2" borderId="94" xfId="1" applyNumberFormat="1" applyFont="1" applyFill="1" applyBorder="1" applyAlignment="1">
      <alignment horizontal="center" vertical="center"/>
    </xf>
    <xf numFmtId="0" fontId="170" fillId="32" borderId="0" xfId="0" applyFont="1" applyFill="1"/>
    <xf numFmtId="0" fontId="170" fillId="10" borderId="0" xfId="0" applyFont="1" applyFill="1" applyAlignment="1">
      <alignment vertical="center"/>
    </xf>
    <xf numFmtId="0" fontId="141" fillId="11" borderId="0" xfId="0" applyFont="1" applyFill="1" applyAlignment="1">
      <alignment vertical="center"/>
    </xf>
    <xf numFmtId="0" fontId="170" fillId="13" borderId="0" xfId="0" applyFont="1" applyFill="1" applyAlignment="1">
      <alignment vertical="center"/>
    </xf>
    <xf numFmtId="0" fontId="170" fillId="14" borderId="0" xfId="0" applyFont="1" applyFill="1" applyAlignment="1">
      <alignment vertical="center"/>
    </xf>
    <xf numFmtId="0" fontId="170" fillId="8" borderId="0" xfId="0" applyFont="1" applyFill="1"/>
    <xf numFmtId="0" fontId="170" fillId="12" borderId="0" xfId="0" applyFont="1" applyFill="1" applyAlignment="1">
      <alignment vertical="center"/>
    </xf>
    <xf numFmtId="0" fontId="170" fillId="25" borderId="0" xfId="0" applyFont="1" applyFill="1"/>
    <xf numFmtId="0" fontId="170" fillId="25" borderId="0" xfId="0" applyFont="1" applyFill="1" applyAlignment="1">
      <alignment vertical="center"/>
    </xf>
    <xf numFmtId="0" fontId="170" fillId="22" borderId="0" xfId="0" applyFont="1" applyFill="1"/>
    <xf numFmtId="0" fontId="31" fillId="22" borderId="0" xfId="0" applyFont="1" applyFill="1" applyAlignment="1">
      <alignment vertical="top"/>
    </xf>
    <xf numFmtId="0" fontId="170" fillId="24" borderId="0" xfId="0" applyFont="1" applyFill="1" applyAlignment="1">
      <alignment vertical="center"/>
    </xf>
    <xf numFmtId="0" fontId="170" fillId="26" borderId="0" xfId="0" applyFont="1" applyFill="1" applyAlignment="1">
      <alignment vertical="center"/>
    </xf>
    <xf numFmtId="9" fontId="120" fillId="2" borderId="15" xfId="1" applyFont="1" applyFill="1" applyBorder="1" applyAlignment="1">
      <alignment horizontal="center" vertical="center"/>
    </xf>
    <xf numFmtId="9" fontId="139" fillId="2" borderId="15" xfId="1" applyFont="1" applyFill="1" applyBorder="1" applyAlignment="1">
      <alignment horizontal="center" vertical="center"/>
    </xf>
    <xf numFmtId="9" fontId="148" fillId="2" borderId="15" xfId="1" applyFont="1" applyFill="1" applyBorder="1" applyAlignment="1">
      <alignment horizontal="center" vertical="center"/>
    </xf>
    <xf numFmtId="0" fontId="103" fillId="29" borderId="0" xfId="0" applyFont="1" applyFill="1" applyAlignment="1">
      <alignment vertical="center"/>
    </xf>
    <xf numFmtId="164" fontId="103" fillId="30" borderId="18" xfId="1" applyNumberFormat="1" applyFont="1" applyFill="1" applyBorder="1" applyAlignment="1">
      <alignment horizontal="center" vertical="center"/>
    </xf>
    <xf numFmtId="9" fontId="103" fillId="28" borderId="15" xfId="1" applyFont="1" applyFill="1" applyBorder="1" applyAlignment="1">
      <alignment horizontal="center" vertical="center"/>
    </xf>
    <xf numFmtId="164" fontId="103" fillId="16" borderId="22" xfId="1" applyNumberFormat="1" applyFont="1" applyFill="1" applyBorder="1" applyAlignment="1">
      <alignment horizontal="center" vertical="center"/>
    </xf>
    <xf numFmtId="10" fontId="113" fillId="2" borderId="0" xfId="1" applyNumberFormat="1" applyFont="1" applyFill="1" applyBorder="1" applyAlignment="1">
      <alignment horizontal="center" vertical="center"/>
    </xf>
    <xf numFmtId="164" fontId="113" fillId="2" borderId="15" xfId="1" applyNumberFormat="1" applyFont="1" applyFill="1" applyBorder="1" applyAlignment="1">
      <alignment horizontal="center" vertical="center"/>
    </xf>
    <xf numFmtId="2" fontId="12" fillId="2" borderId="0" xfId="0" applyNumberFormat="1" applyFont="1" applyFill="1" applyAlignment="1">
      <alignment horizontal="center" vertical="center"/>
    </xf>
    <xf numFmtId="10" fontId="102" fillId="2" borderId="3" xfId="1" applyNumberFormat="1" applyFont="1" applyFill="1" applyBorder="1" applyAlignment="1">
      <alignment horizontal="center" vertical="center"/>
    </xf>
    <xf numFmtId="1" fontId="103" fillId="30" borderId="18" xfId="1" applyNumberFormat="1" applyFont="1" applyFill="1" applyBorder="1" applyAlignment="1">
      <alignment horizontal="center" vertical="center"/>
    </xf>
    <xf numFmtId="10" fontId="103" fillId="30" borderId="26" xfId="1" applyNumberFormat="1" applyFont="1" applyFill="1" applyBorder="1" applyAlignment="1">
      <alignment horizontal="center" vertical="center"/>
    </xf>
    <xf numFmtId="173" fontId="103" fillId="30" borderId="19" xfId="1" applyNumberFormat="1" applyFont="1" applyFill="1" applyBorder="1" applyAlignment="1">
      <alignment horizontal="center" vertical="center"/>
    </xf>
    <xf numFmtId="0" fontId="181" fillId="25" borderId="0" xfId="0" applyFont="1" applyFill="1" applyAlignment="1">
      <alignment wrapText="1"/>
    </xf>
    <xf numFmtId="0" fontId="182" fillId="25" borderId="0" xfId="0" applyFont="1" applyFill="1" applyAlignment="1">
      <alignment vertical="top" wrapText="1"/>
    </xf>
    <xf numFmtId="0" fontId="183" fillId="2" borderId="0" xfId="0" applyFont="1" applyFill="1"/>
    <xf numFmtId="0" fontId="183" fillId="2" borderId="0" xfId="0" applyFont="1" applyFill="1" applyAlignment="1">
      <alignment vertical="center"/>
    </xf>
    <xf numFmtId="0" fontId="183" fillId="2" borderId="0" xfId="0" applyFont="1" applyFill="1" applyAlignment="1">
      <alignment vertical="top"/>
    </xf>
    <xf numFmtId="0" fontId="126" fillId="27" borderId="0" xfId="0" applyFont="1" applyFill="1" applyAlignment="1">
      <alignment vertical="center"/>
    </xf>
    <xf numFmtId="0" fontId="181" fillId="22" borderId="0" xfId="0" applyFont="1" applyFill="1"/>
    <xf numFmtId="0" fontId="181" fillId="22" borderId="0" xfId="0" applyFont="1" applyFill="1" applyAlignment="1">
      <alignment vertical="top"/>
    </xf>
    <xf numFmtId="0" fontId="181" fillId="24" borderId="0" xfId="0" applyFont="1" applyFill="1" applyAlignment="1">
      <alignment vertical="center"/>
    </xf>
    <xf numFmtId="0" fontId="126" fillId="33" borderId="0" xfId="0" applyFont="1" applyFill="1" applyAlignment="1">
      <alignment vertical="center"/>
    </xf>
    <xf numFmtId="0" fontId="134" fillId="2" borderId="0" xfId="0" applyFont="1" applyFill="1" applyAlignment="1">
      <alignment horizontal="left"/>
    </xf>
    <xf numFmtId="0" fontId="181" fillId="26" borderId="0" xfId="0" applyFont="1" applyFill="1" applyAlignment="1">
      <alignment vertical="center"/>
    </xf>
    <xf numFmtId="0" fontId="126" fillId="9" borderId="0" xfId="0" applyFont="1" applyFill="1" applyAlignment="1">
      <alignment vertical="center"/>
    </xf>
    <xf numFmtId="0" fontId="126" fillId="21" borderId="0" xfId="0" applyFont="1" applyFill="1" applyAlignment="1">
      <alignment vertical="center"/>
    </xf>
    <xf numFmtId="0" fontId="124" fillId="2" borderId="0" xfId="0" applyFont="1" applyFill="1"/>
    <xf numFmtId="0" fontId="184" fillId="2" borderId="0" xfId="0" applyFont="1" applyFill="1" applyAlignment="1">
      <alignment horizontal="left" vertical="center"/>
    </xf>
    <xf numFmtId="0" fontId="124" fillId="2" borderId="0" xfId="0" applyFont="1" applyFill="1" applyAlignment="1">
      <alignment vertical="center"/>
    </xf>
    <xf numFmtId="0" fontId="124" fillId="2" borderId="0" xfId="0" applyFont="1" applyFill="1" applyAlignment="1">
      <alignment vertical="top"/>
    </xf>
    <xf numFmtId="0" fontId="124" fillId="27" borderId="0" xfId="0" applyFont="1" applyFill="1" applyAlignment="1">
      <alignment vertical="center"/>
    </xf>
    <xf numFmtId="0" fontId="184" fillId="22" borderId="0" xfId="0" applyFont="1" applyFill="1"/>
    <xf numFmtId="0" fontId="184" fillId="22" borderId="0" xfId="0" applyFont="1" applyFill="1" applyAlignment="1">
      <alignment vertical="top"/>
    </xf>
    <xf numFmtId="0" fontId="184" fillId="2" borderId="0" xfId="0" applyFont="1" applyFill="1" applyAlignment="1">
      <alignment vertical="center"/>
    </xf>
    <xf numFmtId="0" fontId="184" fillId="24" borderId="0" xfId="0" applyFont="1" applyFill="1" applyAlignment="1">
      <alignment vertical="center"/>
    </xf>
    <xf numFmtId="0" fontId="124" fillId="33" borderId="0" xfId="0" applyFont="1" applyFill="1" applyAlignment="1">
      <alignment vertical="center"/>
    </xf>
    <xf numFmtId="0" fontId="184" fillId="26" borderId="0" xfId="0" applyFont="1" applyFill="1" applyAlignment="1">
      <alignment vertical="center"/>
    </xf>
    <xf numFmtId="0" fontId="124" fillId="9" borderId="0" xfId="0" applyFont="1" applyFill="1" applyAlignment="1">
      <alignment vertical="center"/>
    </xf>
    <xf numFmtId="0" fontId="124" fillId="21" borderId="0" xfId="0" applyFont="1" applyFill="1" applyAlignment="1">
      <alignment horizontal="left" vertical="center"/>
    </xf>
    <xf numFmtId="1" fontId="124" fillId="2" borderId="0" xfId="0" applyNumberFormat="1" applyFont="1" applyFill="1" applyAlignment="1">
      <alignment vertical="center"/>
    </xf>
    <xf numFmtId="1" fontId="124" fillId="2" borderId="0" xfId="0" applyNumberFormat="1" applyFont="1" applyFill="1" applyAlignment="1">
      <alignment horizontal="center" vertical="center"/>
    </xf>
    <xf numFmtId="1" fontId="185" fillId="16" borderId="0" xfId="0" applyNumberFormat="1" applyFont="1" applyFill="1" applyAlignment="1">
      <alignment horizontal="center" vertical="center"/>
    </xf>
    <xf numFmtId="9" fontId="83" fillId="2" borderId="63" xfId="0" applyNumberFormat="1" applyFont="1" applyFill="1" applyBorder="1" applyAlignment="1">
      <alignment horizontal="center" vertical="center"/>
    </xf>
    <xf numFmtId="9" fontId="43" fillId="2" borderId="79" xfId="1" applyFont="1" applyFill="1" applyBorder="1" applyAlignment="1">
      <alignment horizontal="center" vertical="center"/>
    </xf>
    <xf numFmtId="10" fontId="148" fillId="2" borderId="0" xfId="1" applyNumberFormat="1" applyFont="1" applyFill="1" applyBorder="1" applyAlignment="1">
      <alignment horizontal="center" vertical="center"/>
    </xf>
    <xf numFmtId="164" fontId="160" fillId="2" borderId="0" xfId="1" applyNumberFormat="1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0" fontId="186" fillId="2" borderId="0" xfId="0" applyFont="1" applyFill="1"/>
    <xf numFmtId="0" fontId="168" fillId="2" borderId="0" xfId="0" applyFont="1" applyFill="1" applyAlignment="1">
      <alignment vertical="center"/>
    </xf>
    <xf numFmtId="0" fontId="188" fillId="2" borderId="0" xfId="0" applyFont="1" applyFill="1"/>
    <xf numFmtId="0" fontId="189" fillId="2" borderId="0" xfId="0" applyFont="1" applyFill="1"/>
    <xf numFmtId="165" fontId="132" fillId="0" borderId="0" xfId="0" applyNumberFormat="1" applyFont="1"/>
    <xf numFmtId="0" fontId="2" fillId="39" borderId="9" xfId="0" applyFont="1" applyFill="1" applyBorder="1" applyAlignment="1">
      <alignment vertical="center"/>
    </xf>
    <xf numFmtId="0" fontId="2" fillId="39" borderId="9" xfId="0" applyFont="1" applyFill="1" applyBorder="1" applyAlignment="1">
      <alignment vertical="center" wrapText="1"/>
    </xf>
    <xf numFmtId="0" fontId="0" fillId="39" borderId="0" xfId="0" applyFill="1" applyAlignment="1">
      <alignment vertical="center" wrapText="1"/>
    </xf>
    <xf numFmtId="0" fontId="0" fillId="40" borderId="0" xfId="0" applyFill="1" applyAlignment="1">
      <alignment horizontal="center" vertical="center" wrapText="1"/>
    </xf>
    <xf numFmtId="0" fontId="190" fillId="2" borderId="0" xfId="0" applyFont="1" applyFill="1" applyAlignment="1">
      <alignment horizontal="center"/>
    </xf>
    <xf numFmtId="0" fontId="174" fillId="35" borderId="11" xfId="0" applyFont="1" applyFill="1" applyBorder="1" applyAlignment="1">
      <alignment horizontal="center" vertical="center" wrapText="1"/>
    </xf>
    <xf numFmtId="0" fontId="174" fillId="35" borderId="17" xfId="0" applyFont="1" applyFill="1" applyBorder="1" applyAlignment="1">
      <alignment horizontal="center" vertical="center" wrapText="1"/>
    </xf>
    <xf numFmtId="0" fontId="173" fillId="33" borderId="11" xfId="0" applyFont="1" applyFill="1" applyBorder="1" applyAlignment="1">
      <alignment horizontal="center" vertical="center" wrapText="1"/>
    </xf>
    <xf numFmtId="0" fontId="173" fillId="33" borderId="17" xfId="0" applyFont="1" applyFill="1" applyBorder="1" applyAlignment="1">
      <alignment horizontal="center" vertical="center" wrapText="1"/>
    </xf>
    <xf numFmtId="0" fontId="119" fillId="33" borderId="30" xfId="0" applyFont="1" applyFill="1" applyBorder="1" applyAlignment="1">
      <alignment horizontal="center" wrapText="1"/>
    </xf>
    <xf numFmtId="0" fontId="119" fillId="33" borderId="0" xfId="0" applyFont="1" applyFill="1" applyAlignment="1">
      <alignment horizontal="center" wrapText="1"/>
    </xf>
    <xf numFmtId="0" fontId="119" fillId="33" borderId="30" xfId="0" applyFont="1" applyFill="1" applyBorder="1" applyAlignment="1">
      <alignment horizontal="center" vertical="center" wrapText="1"/>
    </xf>
    <xf numFmtId="0" fontId="119" fillId="33" borderId="0" xfId="0" applyFont="1" applyFill="1" applyAlignment="1">
      <alignment horizontal="center" vertical="center" wrapText="1"/>
    </xf>
    <xf numFmtId="0" fontId="127" fillId="35" borderId="30" xfId="0" applyFont="1" applyFill="1" applyBorder="1" applyAlignment="1">
      <alignment horizontal="center" vertical="center" wrapText="1"/>
    </xf>
    <xf numFmtId="0" fontId="127" fillId="35" borderId="0" xfId="0" applyFont="1" applyFill="1" applyAlignment="1">
      <alignment horizontal="center" vertical="center" wrapText="1"/>
    </xf>
    <xf numFmtId="0" fontId="127" fillId="35" borderId="30" xfId="0" applyFont="1" applyFill="1" applyBorder="1" applyAlignment="1">
      <alignment horizontal="center" wrapText="1"/>
    </xf>
    <xf numFmtId="0" fontId="127" fillId="35" borderId="0" xfId="0" applyFont="1" applyFill="1" applyAlignment="1">
      <alignment horizontal="center" wrapText="1"/>
    </xf>
    <xf numFmtId="0" fontId="132" fillId="35" borderId="30" xfId="0" applyFont="1" applyFill="1" applyBorder="1" applyAlignment="1">
      <alignment horizontal="center"/>
    </xf>
    <xf numFmtId="0" fontId="132" fillId="35" borderId="0" xfId="0" applyFont="1" applyFill="1" applyAlignment="1">
      <alignment horizontal="center"/>
    </xf>
    <xf numFmtId="0" fontId="63" fillId="33" borderId="30" xfId="0" applyFont="1" applyFill="1" applyBorder="1" applyAlignment="1">
      <alignment horizontal="center"/>
    </xf>
    <xf numFmtId="0" fontId="63" fillId="33" borderId="0" xfId="0" applyFont="1" applyFill="1" applyAlignment="1">
      <alignment horizontal="center"/>
    </xf>
    <xf numFmtId="0" fontId="61" fillId="33" borderId="48" xfId="0" applyFont="1" applyFill="1" applyBorder="1" applyAlignment="1">
      <alignment horizontal="center" wrapText="1"/>
    </xf>
    <xf numFmtId="0" fontId="61" fillId="33" borderId="46" xfId="0" applyFont="1" applyFill="1" applyBorder="1" applyAlignment="1">
      <alignment horizontal="center" wrapText="1"/>
    </xf>
    <xf numFmtId="0" fontId="61" fillId="33" borderId="0" xfId="0" applyFont="1" applyFill="1" applyAlignment="1">
      <alignment horizontal="center" wrapText="1"/>
    </xf>
    <xf numFmtId="0" fontId="172" fillId="23" borderId="11" xfId="0" applyFont="1" applyFill="1" applyBorder="1" applyAlignment="1">
      <alignment horizontal="center" vertical="center" wrapText="1"/>
    </xf>
    <xf numFmtId="0" fontId="172" fillId="23" borderId="17" xfId="0" applyFont="1" applyFill="1" applyBorder="1" applyAlignment="1">
      <alignment horizontal="center" vertical="center" wrapText="1"/>
    </xf>
    <xf numFmtId="0" fontId="109" fillId="23" borderId="30" xfId="0" applyFont="1" applyFill="1" applyBorder="1" applyAlignment="1">
      <alignment horizontal="center" vertical="center" wrapText="1"/>
    </xf>
    <xf numFmtId="0" fontId="109" fillId="23" borderId="0" xfId="0" applyFont="1" applyFill="1" applyAlignment="1">
      <alignment horizontal="center" vertical="center" wrapText="1"/>
    </xf>
    <xf numFmtId="0" fontId="109" fillId="23" borderId="11" xfId="0" applyFont="1" applyFill="1" applyBorder="1" applyAlignment="1">
      <alignment horizontal="center" vertical="center" wrapText="1"/>
    </xf>
    <xf numFmtId="0" fontId="110" fillId="23" borderId="30" xfId="0" applyFont="1" applyFill="1" applyBorder="1" applyAlignment="1">
      <alignment horizontal="center"/>
    </xf>
    <xf numFmtId="0" fontId="110" fillId="23" borderId="0" xfId="0" applyFont="1" applyFill="1" applyAlignment="1">
      <alignment horizontal="center"/>
    </xf>
    <xf numFmtId="0" fontId="106" fillId="27" borderId="31" xfId="0" applyFont="1" applyFill="1" applyBorder="1" applyAlignment="1">
      <alignment horizontal="center" wrapText="1"/>
    </xf>
    <xf numFmtId="0" fontId="106" fillId="27" borderId="24" xfId="0" applyFont="1" applyFill="1" applyBorder="1" applyAlignment="1">
      <alignment horizontal="center"/>
    </xf>
    <xf numFmtId="0" fontId="105" fillId="27" borderId="0" xfId="0" applyFont="1" applyFill="1" applyAlignment="1">
      <alignment horizontal="center" vertical="center" wrapText="1"/>
    </xf>
    <xf numFmtId="0" fontId="169" fillId="27" borderId="11" xfId="0" applyFont="1" applyFill="1" applyBorder="1" applyAlignment="1">
      <alignment horizontal="center" vertical="center" wrapText="1"/>
    </xf>
    <xf numFmtId="0" fontId="169" fillId="27" borderId="17" xfId="0" applyFont="1" applyFill="1" applyBorder="1" applyAlignment="1">
      <alignment horizontal="center" vertical="center" wrapText="1"/>
    </xf>
    <xf numFmtId="0" fontId="105" fillId="27" borderId="11" xfId="0" applyFont="1" applyFill="1" applyBorder="1" applyAlignment="1">
      <alignment horizontal="center" vertical="center" wrapText="1"/>
    </xf>
    <xf numFmtId="0" fontId="111" fillId="23" borderId="30" xfId="0" applyFont="1" applyFill="1" applyBorder="1" applyAlignment="1">
      <alignment horizontal="center" wrapText="1"/>
    </xf>
    <xf numFmtId="0" fontId="111" fillId="23" borderId="0" xfId="0" applyFont="1" applyFill="1" applyAlignment="1">
      <alignment horizontal="center" wrapText="1"/>
    </xf>
    <xf numFmtId="0" fontId="110" fillId="23" borderId="30" xfId="0" applyFont="1" applyFill="1" applyBorder="1" applyAlignment="1">
      <alignment horizontal="center" wrapText="1"/>
    </xf>
    <xf numFmtId="0" fontId="110" fillId="23" borderId="37" xfId="0" applyFont="1" applyFill="1" applyBorder="1" applyAlignment="1">
      <alignment horizontal="center" wrapText="1"/>
    </xf>
    <xf numFmtId="0" fontId="110" fillId="23" borderId="55" xfId="0" applyFont="1" applyFill="1" applyBorder="1" applyAlignment="1">
      <alignment horizontal="center" wrapText="1"/>
    </xf>
    <xf numFmtId="0" fontId="110" fillId="23" borderId="11" xfId="0" applyFont="1" applyFill="1" applyBorder="1" applyAlignment="1">
      <alignment horizontal="center" wrapText="1"/>
    </xf>
    <xf numFmtId="0" fontId="108" fillId="27" borderId="31" xfId="0" applyFont="1" applyFill="1" applyBorder="1" applyAlignment="1">
      <alignment horizontal="center" wrapText="1"/>
    </xf>
    <xf numFmtId="0" fontId="108" fillId="27" borderId="11" xfId="0" applyFont="1" applyFill="1" applyBorder="1" applyAlignment="1">
      <alignment horizontal="center" wrapText="1"/>
    </xf>
    <xf numFmtId="0" fontId="131" fillId="35" borderId="30" xfId="0" applyFont="1" applyFill="1" applyBorder="1" applyAlignment="1">
      <alignment horizontal="center" wrapText="1"/>
    </xf>
    <xf numFmtId="0" fontId="131" fillId="35" borderId="0" xfId="0" applyFont="1" applyFill="1" applyAlignment="1">
      <alignment horizontal="center" wrapText="1"/>
    </xf>
    <xf numFmtId="0" fontId="131" fillId="35" borderId="56" xfId="0" applyFont="1" applyFill="1" applyBorder="1" applyAlignment="1">
      <alignment horizontal="center" wrapText="1"/>
    </xf>
    <xf numFmtId="0" fontId="61" fillId="33" borderId="30" xfId="0" applyFont="1" applyFill="1" applyBorder="1" applyAlignment="1">
      <alignment horizontal="center" wrapText="1"/>
    </xf>
    <xf numFmtId="0" fontId="119" fillId="33" borderId="11" xfId="0" applyFont="1" applyFill="1" applyBorder="1" applyAlignment="1">
      <alignment horizontal="center" vertical="center" wrapText="1"/>
    </xf>
    <xf numFmtId="0" fontId="63" fillId="33" borderId="30" xfId="0" applyFont="1" applyFill="1" applyBorder="1" applyAlignment="1">
      <alignment horizontal="center" wrapText="1"/>
    </xf>
    <xf numFmtId="0" fontId="63" fillId="33" borderId="37" xfId="0" applyFont="1" applyFill="1" applyBorder="1" applyAlignment="1">
      <alignment horizontal="center" wrapText="1"/>
    </xf>
    <xf numFmtId="0" fontId="130" fillId="35" borderId="30" xfId="0" applyFont="1" applyFill="1" applyBorder="1" applyAlignment="1">
      <alignment horizontal="center" vertical="center" wrapText="1"/>
    </xf>
    <xf numFmtId="0" fontId="130" fillId="35" borderId="0" xfId="0" applyFont="1" applyFill="1" applyAlignment="1">
      <alignment horizontal="center" vertical="center" wrapText="1"/>
    </xf>
    <xf numFmtId="0" fontId="130" fillId="35" borderId="30" xfId="0" applyFont="1" applyFill="1" applyBorder="1" applyAlignment="1">
      <alignment horizontal="center" wrapText="1"/>
    </xf>
    <xf numFmtId="0" fontId="130" fillId="35" borderId="0" xfId="0" applyFont="1" applyFill="1" applyAlignment="1">
      <alignment horizontal="center" wrapText="1"/>
    </xf>
    <xf numFmtId="0" fontId="61" fillId="33" borderId="37" xfId="0" applyFont="1" applyFill="1" applyBorder="1" applyAlignment="1">
      <alignment horizontal="center" wrapText="1"/>
    </xf>
    <xf numFmtId="0" fontId="61" fillId="33" borderId="55" xfId="0" applyFont="1" applyFill="1" applyBorder="1" applyAlignment="1">
      <alignment horizontal="center" wrapText="1"/>
    </xf>
    <xf numFmtId="0" fontId="61" fillId="33" borderId="11" xfId="0" applyFont="1" applyFill="1" applyBorder="1" applyAlignment="1">
      <alignment horizontal="center" wrapText="1"/>
    </xf>
    <xf numFmtId="0" fontId="105" fillId="27" borderId="30" xfId="0" applyFont="1" applyFill="1" applyBorder="1" applyAlignment="1">
      <alignment horizontal="center" vertical="center" wrapText="1"/>
    </xf>
    <xf numFmtId="1" fontId="109" fillId="23" borderId="0" xfId="0" applyNumberFormat="1" applyFont="1" applyFill="1" applyAlignment="1">
      <alignment horizontal="center" vertical="center" wrapText="1"/>
    </xf>
    <xf numFmtId="0" fontId="106" fillId="27" borderId="31" xfId="0" applyFont="1" applyFill="1" applyBorder="1" applyAlignment="1">
      <alignment horizontal="center"/>
    </xf>
    <xf numFmtId="0" fontId="108" fillId="27" borderId="30" xfId="0" applyFont="1" applyFill="1" applyBorder="1" applyAlignment="1">
      <alignment horizontal="center" wrapText="1"/>
    </xf>
    <xf numFmtId="0" fontId="108" fillId="27" borderId="24" xfId="0" applyFont="1" applyFill="1" applyBorder="1" applyAlignment="1">
      <alignment horizontal="center" wrapText="1"/>
    </xf>
    <xf numFmtId="0" fontId="111" fillId="23" borderId="30" xfId="0" applyFont="1" applyFill="1" applyBorder="1" applyAlignment="1">
      <alignment horizontal="center"/>
    </xf>
    <xf numFmtId="0" fontId="111" fillId="23" borderId="0" xfId="0" applyFont="1" applyFill="1" applyAlignment="1">
      <alignment horizontal="center"/>
    </xf>
    <xf numFmtId="0" fontId="19" fillId="2" borderId="0" xfId="0" applyFont="1" applyFill="1" applyAlignment="1">
      <alignment horizontal="center" vertical="top" wrapText="1"/>
    </xf>
    <xf numFmtId="0" fontId="180" fillId="38" borderId="11" xfId="0" applyFont="1" applyFill="1" applyBorder="1" applyAlignment="1">
      <alignment horizontal="center" vertical="center" wrapText="1"/>
    </xf>
    <xf numFmtId="0" fontId="180" fillId="38" borderId="17" xfId="0" applyFont="1" applyFill="1" applyBorder="1" applyAlignment="1">
      <alignment horizontal="center" vertical="center" wrapText="1"/>
    </xf>
    <xf numFmtId="0" fontId="92" fillId="38" borderId="30" xfId="0" applyFont="1" applyFill="1" applyBorder="1" applyAlignment="1">
      <alignment horizontal="center" vertical="center" wrapText="1"/>
    </xf>
    <xf numFmtId="0" fontId="92" fillId="38" borderId="0" xfId="0" applyFont="1" applyFill="1" applyAlignment="1">
      <alignment horizontal="center" vertical="center" wrapText="1"/>
    </xf>
    <xf numFmtId="0" fontId="92" fillId="38" borderId="31" xfId="0" applyFont="1" applyFill="1" applyBorder="1" applyAlignment="1">
      <alignment horizontal="center" vertical="center" wrapText="1"/>
    </xf>
    <xf numFmtId="0" fontId="92" fillId="38" borderId="0" xfId="0" applyFont="1" applyFill="1" applyAlignment="1">
      <alignment horizontal="center" wrapText="1"/>
    </xf>
    <xf numFmtId="0" fontId="92" fillId="38" borderId="24" xfId="0" applyFont="1" applyFill="1" applyBorder="1" applyAlignment="1">
      <alignment horizontal="center" wrapText="1"/>
    </xf>
    <xf numFmtId="0" fontId="92" fillId="38" borderId="31" xfId="0" applyFont="1" applyFill="1" applyBorder="1" applyAlignment="1">
      <alignment horizontal="center" wrapText="1"/>
    </xf>
    <xf numFmtId="0" fontId="92" fillId="38" borderId="30" xfId="0" applyFont="1" applyFill="1" applyBorder="1" applyAlignment="1">
      <alignment horizontal="center" wrapText="1"/>
    </xf>
    <xf numFmtId="0" fontId="179" fillId="37" borderId="11" xfId="0" applyFont="1" applyFill="1" applyBorder="1" applyAlignment="1">
      <alignment horizontal="center" vertical="center" wrapText="1"/>
    </xf>
    <xf numFmtId="0" fontId="179" fillId="37" borderId="17" xfId="0" applyFont="1" applyFill="1" applyBorder="1" applyAlignment="1">
      <alignment horizontal="center" vertical="center" wrapText="1"/>
    </xf>
    <xf numFmtId="0" fontId="157" fillId="37" borderId="30" xfId="0" applyFont="1" applyFill="1" applyBorder="1" applyAlignment="1">
      <alignment horizontal="center" vertical="center" wrapText="1"/>
    </xf>
    <xf numFmtId="0" fontId="157" fillId="37" borderId="0" xfId="0" applyFont="1" applyFill="1" applyAlignment="1">
      <alignment horizontal="center" vertical="center" wrapText="1"/>
    </xf>
    <xf numFmtId="0" fontId="157" fillId="37" borderId="24" xfId="0" applyFont="1" applyFill="1" applyBorder="1" applyAlignment="1">
      <alignment horizontal="center" vertical="center" wrapText="1"/>
    </xf>
    <xf numFmtId="0" fontId="157" fillId="37" borderId="31" xfId="0" applyFont="1" applyFill="1" applyBorder="1" applyAlignment="1">
      <alignment horizontal="center" vertical="center" wrapText="1"/>
    </xf>
    <xf numFmtId="0" fontId="157" fillId="37" borderId="0" xfId="0" applyFont="1" applyFill="1" applyAlignment="1">
      <alignment horizontal="center" wrapText="1"/>
    </xf>
    <xf numFmtId="0" fontId="157" fillId="37" borderId="24" xfId="0" applyFont="1" applyFill="1" applyBorder="1" applyAlignment="1">
      <alignment horizontal="center" wrapText="1"/>
    </xf>
    <xf numFmtId="0" fontId="157" fillId="37" borderId="31" xfId="0" applyFont="1" applyFill="1" applyBorder="1" applyAlignment="1">
      <alignment horizontal="center" wrapText="1"/>
    </xf>
    <xf numFmtId="0" fontId="157" fillId="37" borderId="30" xfId="0" applyFont="1" applyFill="1" applyBorder="1" applyAlignment="1">
      <alignment horizontal="center" wrapText="1"/>
    </xf>
    <xf numFmtId="0" fontId="178" fillId="20" borderId="11" xfId="0" applyFont="1" applyFill="1" applyBorder="1" applyAlignment="1">
      <alignment horizontal="center" vertical="center" wrapText="1"/>
    </xf>
    <xf numFmtId="0" fontId="178" fillId="20" borderId="17" xfId="0" applyFont="1" applyFill="1" applyBorder="1" applyAlignment="1">
      <alignment horizontal="center" vertical="center" wrapText="1"/>
    </xf>
    <xf numFmtId="0" fontId="153" fillId="20" borderId="30" xfId="0" applyFont="1" applyFill="1" applyBorder="1" applyAlignment="1">
      <alignment horizontal="center" vertical="center" wrapText="1"/>
    </xf>
    <xf numFmtId="0" fontId="153" fillId="20" borderId="0" xfId="0" applyFont="1" applyFill="1" applyAlignment="1">
      <alignment horizontal="center" vertical="center" wrapText="1"/>
    </xf>
    <xf numFmtId="0" fontId="153" fillId="20" borderId="30" xfId="0" applyFont="1" applyFill="1" applyBorder="1" applyAlignment="1">
      <alignment horizontal="center" wrapText="1"/>
    </xf>
    <xf numFmtId="0" fontId="153" fillId="20" borderId="24" xfId="0" applyFont="1" applyFill="1" applyBorder="1" applyAlignment="1">
      <alignment horizontal="center" wrapText="1"/>
    </xf>
    <xf numFmtId="0" fontId="153" fillId="20" borderId="31" xfId="0" applyFont="1" applyFill="1" applyBorder="1" applyAlignment="1">
      <alignment horizontal="center" wrapText="1"/>
    </xf>
    <xf numFmtId="0" fontId="153" fillId="20" borderId="0" xfId="0" applyFont="1" applyFill="1" applyAlignment="1">
      <alignment horizontal="center" wrapText="1"/>
    </xf>
    <xf numFmtId="0" fontId="149" fillId="19" borderId="5" xfId="0" applyFont="1" applyFill="1" applyBorder="1" applyAlignment="1">
      <alignment horizontal="center" wrapText="1"/>
    </xf>
    <xf numFmtId="0" fontId="149" fillId="19" borderId="24" xfId="0" applyFont="1" applyFill="1" applyBorder="1" applyAlignment="1">
      <alignment horizontal="center" wrapText="1"/>
    </xf>
    <xf numFmtId="0" fontId="149" fillId="19" borderId="31" xfId="0" applyFont="1" applyFill="1" applyBorder="1" applyAlignment="1">
      <alignment horizontal="center" wrapText="1"/>
    </xf>
    <xf numFmtId="0" fontId="149" fillId="19" borderId="0" xfId="0" applyFont="1" applyFill="1" applyAlignment="1">
      <alignment horizontal="center" wrapText="1"/>
    </xf>
    <xf numFmtId="0" fontId="149" fillId="19" borderId="30" xfId="0" applyFont="1" applyFill="1" applyBorder="1" applyAlignment="1">
      <alignment horizontal="center" wrapText="1"/>
    </xf>
    <xf numFmtId="0" fontId="177" fillId="19" borderId="11" xfId="0" applyFont="1" applyFill="1" applyBorder="1" applyAlignment="1">
      <alignment horizontal="center" vertical="center" wrapText="1"/>
    </xf>
    <xf numFmtId="0" fontId="177" fillId="19" borderId="17" xfId="0" applyFont="1" applyFill="1" applyBorder="1" applyAlignment="1">
      <alignment horizontal="center" vertical="center" wrapText="1"/>
    </xf>
    <xf numFmtId="0" fontId="149" fillId="19" borderId="30" xfId="0" applyFont="1" applyFill="1" applyBorder="1" applyAlignment="1">
      <alignment horizontal="center" vertical="center" wrapText="1"/>
    </xf>
    <xf numFmtId="0" fontId="149" fillId="19" borderId="0" xfId="0" applyFont="1" applyFill="1" applyAlignment="1">
      <alignment horizontal="center" vertical="center" wrapText="1"/>
    </xf>
    <xf numFmtId="0" fontId="149" fillId="19" borderId="24" xfId="0" applyFont="1" applyFill="1" applyBorder="1" applyAlignment="1">
      <alignment horizontal="center" vertical="center" wrapText="1"/>
    </xf>
    <xf numFmtId="0" fontId="149" fillId="19" borderId="31" xfId="0" applyFont="1" applyFill="1" applyBorder="1" applyAlignment="1">
      <alignment horizontal="center" vertical="center" wrapText="1"/>
    </xf>
    <xf numFmtId="0" fontId="176" fillId="18" borderId="11" xfId="0" applyFont="1" applyFill="1" applyBorder="1" applyAlignment="1">
      <alignment horizontal="center" vertical="center" wrapText="1"/>
    </xf>
    <xf numFmtId="0" fontId="176" fillId="18" borderId="17" xfId="0" applyFont="1" applyFill="1" applyBorder="1" applyAlignment="1">
      <alignment horizontal="center" vertical="center" wrapText="1"/>
    </xf>
    <xf numFmtId="0" fontId="142" fillId="18" borderId="30" xfId="0" applyFont="1" applyFill="1" applyBorder="1" applyAlignment="1">
      <alignment horizontal="center" vertical="center" wrapText="1"/>
    </xf>
    <xf numFmtId="0" fontId="142" fillId="18" borderId="0" xfId="0" applyFont="1" applyFill="1" applyAlignment="1">
      <alignment horizontal="center" vertical="center" wrapText="1"/>
    </xf>
    <xf numFmtId="0" fontId="142" fillId="18" borderId="0" xfId="0" applyFont="1" applyFill="1" applyAlignment="1">
      <alignment horizontal="center" wrapText="1"/>
    </xf>
    <xf numFmtId="0" fontId="142" fillId="18" borderId="24" xfId="0" applyFont="1" applyFill="1" applyBorder="1" applyAlignment="1">
      <alignment horizontal="center" wrapText="1"/>
    </xf>
    <xf numFmtId="0" fontId="142" fillId="18" borderId="31" xfId="0" applyFont="1" applyFill="1" applyBorder="1" applyAlignment="1">
      <alignment horizontal="center" wrapText="1"/>
    </xf>
    <xf numFmtId="0" fontId="142" fillId="18" borderId="82" xfId="0" applyFont="1" applyFill="1" applyBorder="1" applyAlignment="1">
      <alignment horizontal="center" wrapText="1"/>
    </xf>
    <xf numFmtId="0" fontId="142" fillId="18" borderId="83" xfId="0" applyFont="1" applyFill="1" applyBorder="1" applyAlignment="1">
      <alignment horizontal="center" wrapText="1"/>
    </xf>
    <xf numFmtId="0" fontId="136" fillId="17" borderId="30" xfId="0" applyFont="1" applyFill="1" applyBorder="1" applyAlignment="1">
      <alignment horizontal="center" wrapText="1"/>
    </xf>
    <xf numFmtId="0" fontId="136" fillId="17" borderId="24" xfId="0" applyFont="1" applyFill="1" applyBorder="1" applyAlignment="1">
      <alignment horizontal="center" wrapText="1"/>
    </xf>
    <xf numFmtId="0" fontId="136" fillId="17" borderId="31" xfId="0" applyFont="1" applyFill="1" applyBorder="1" applyAlignment="1">
      <alignment horizontal="center" wrapText="1"/>
    </xf>
    <xf numFmtId="0" fontId="136" fillId="17" borderId="0" xfId="0" applyFont="1" applyFill="1" applyAlignment="1">
      <alignment horizontal="center" wrapText="1"/>
    </xf>
    <xf numFmtId="0" fontId="175" fillId="17" borderId="11" xfId="0" applyFont="1" applyFill="1" applyBorder="1" applyAlignment="1">
      <alignment horizontal="center" vertical="center" wrapText="1"/>
    </xf>
    <xf numFmtId="0" fontId="175" fillId="17" borderId="17" xfId="0" applyFont="1" applyFill="1" applyBorder="1" applyAlignment="1">
      <alignment horizontal="center" vertical="center" wrapText="1"/>
    </xf>
    <xf numFmtId="0" fontId="135" fillId="17" borderId="11" xfId="0" applyFont="1" applyFill="1" applyBorder="1" applyAlignment="1">
      <alignment horizontal="center" vertical="center" wrapText="1"/>
    </xf>
    <xf numFmtId="0" fontId="135" fillId="17" borderId="17" xfId="0" applyFont="1" applyFill="1" applyBorder="1" applyAlignment="1">
      <alignment horizontal="center" vertical="center" wrapText="1"/>
    </xf>
    <xf numFmtId="0" fontId="136" fillId="17" borderId="30" xfId="0" applyFont="1" applyFill="1" applyBorder="1" applyAlignment="1">
      <alignment horizontal="center" vertical="center" wrapText="1"/>
    </xf>
    <xf numFmtId="0" fontId="136" fillId="17" borderId="0" xfId="0" applyFont="1" applyFill="1" applyAlignment="1">
      <alignment horizontal="center" vertical="center" wrapText="1"/>
    </xf>
    <xf numFmtId="0" fontId="136" fillId="17" borderId="24" xfId="0" applyFont="1" applyFill="1" applyBorder="1" applyAlignment="1">
      <alignment horizontal="center" vertical="center" wrapText="1"/>
    </xf>
    <xf numFmtId="0" fontId="108" fillId="27" borderId="30" xfId="0" applyFont="1" applyFill="1" applyBorder="1" applyAlignment="1">
      <alignment horizontal="center" vertical="center" wrapText="1"/>
    </xf>
    <xf numFmtId="0" fontId="108" fillId="27" borderId="0" xfId="0" applyFont="1" applyFill="1" applyAlignment="1">
      <alignment horizontal="center" vertical="center" wrapText="1"/>
    </xf>
    <xf numFmtId="0" fontId="108" fillId="27" borderId="31" xfId="0" applyFont="1" applyFill="1" applyBorder="1" applyAlignment="1">
      <alignment horizontal="center" vertical="center" wrapText="1"/>
    </xf>
    <xf numFmtId="0" fontId="108" fillId="27" borderId="0" xfId="0" applyFont="1" applyFill="1" applyAlignment="1">
      <alignment horizontal="center" wrapText="1"/>
    </xf>
    <xf numFmtId="0" fontId="108" fillId="27" borderId="24" xfId="0" applyFont="1" applyFill="1" applyBorder="1" applyAlignment="1">
      <alignment horizontal="center" vertical="center" wrapText="1"/>
    </xf>
    <xf numFmtId="9" fontId="19" fillId="2" borderId="0" xfId="1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7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  <xf numFmtId="1" fontId="12" fillId="2" borderId="0" xfId="1" applyNumberFormat="1" applyFont="1" applyFill="1" applyBorder="1" applyAlignment="1">
      <alignment horizontal="center" vertical="center"/>
    </xf>
    <xf numFmtId="1" fontId="19" fillId="2" borderId="0" xfId="0" applyNumberFormat="1" applyFont="1" applyFill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0" fontId="136" fillId="17" borderId="31" xfId="0" applyFont="1" applyFill="1" applyBorder="1" applyAlignment="1">
      <alignment horizontal="center" vertical="center" wrapText="1"/>
    </xf>
    <xf numFmtId="1" fontId="88" fillId="2" borderId="0" xfId="0" applyNumberFormat="1" applyFont="1" applyFill="1" applyAlignment="1">
      <alignment horizontal="center" vertical="center"/>
    </xf>
    <xf numFmtId="0" fontId="15" fillId="8" borderId="0" xfId="0" applyFont="1" applyFill="1" applyAlignment="1">
      <alignment horizontal="left" vertical="center" wrapText="1"/>
    </xf>
    <xf numFmtId="0" fontId="191" fillId="2" borderId="0" xfId="0" applyFont="1" applyFill="1" applyAlignment="1">
      <alignment horizontal="left" vertical="center"/>
    </xf>
    <xf numFmtId="1" fontId="191" fillId="2" borderId="0" xfId="0" applyNumberFormat="1" applyFont="1" applyFill="1" applyAlignment="1">
      <alignment horizontal="left" vertical="center"/>
    </xf>
    <xf numFmtId="1" fontId="192" fillId="16" borderId="0" xfId="0" applyNumberFormat="1" applyFont="1" applyFill="1" applyAlignment="1">
      <alignment horizontal="center" vertical="center"/>
    </xf>
    <xf numFmtId="0" fontId="94" fillId="2" borderId="0" xfId="0" applyFont="1" applyFill="1" applyAlignment="1">
      <alignment vertical="center"/>
    </xf>
  </cellXfs>
  <cellStyles count="3">
    <cellStyle name="Comma [0]" xfId="2" builtinId="6"/>
    <cellStyle name="Normal" xfId="0" builtinId="0"/>
    <cellStyle name="Percent" xfId="1" builtinId="5"/>
  </cellStyles>
  <dxfs count="147"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39994506668294322"/>
        </patternFill>
      </fill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39994506668294322"/>
        </patternFill>
      </fill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</dxfs>
  <tableStyles count="0" defaultTableStyle="TableStyleMedium2" defaultPivotStyle="PivotStyleLight16"/>
  <colors>
    <mruColors>
      <color rgb="FF855092"/>
      <color rgb="FFCCDFDF"/>
      <color rgb="FF4298BA"/>
      <color rgb="FF7A5C00"/>
      <color rgb="FF5B4346"/>
      <color rgb="FFC9689E"/>
      <color rgb="FF63A280"/>
      <color rgb="FFFFBCB1"/>
      <color rgb="FF68A200"/>
      <color rgb="FF9ADC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31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32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3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3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35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41.xml"/><Relationship Id="rId1" Type="http://schemas.microsoft.com/office/2011/relationships/chartStyle" Target="style141.xml"/><Relationship Id="rId4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43.xml"/><Relationship Id="rId1" Type="http://schemas.microsoft.com/office/2011/relationships/chartStyle" Target="style143.xml"/><Relationship Id="rId4" Type="http://schemas.openxmlformats.org/officeDocument/2006/relationships/chartUserShapes" Target="../drawings/drawing39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40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39713541666665E-2"/>
          <c:y val="2.4224074074074082E-2"/>
          <c:w val="0.63443971786401709"/>
          <c:h val="0.8832384936440994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1-4357-9735-C5D5919704FC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rgbClr val="338DE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1-4357-9735-C5D5919704FC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rgbClr val="FF9A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357-9735-C5D5919704FC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1-4357-9735-C5D591970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029284868058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45677506763586"/>
          <c:y val="0.37800555741367431"/>
          <c:w val="0.20550413767085676"/>
          <c:h val="0.24398888517265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64001856902E-2"/>
          <c:y val="3.2943956363996524E-2"/>
          <c:w val="0.63964794685990334"/>
          <c:h val="0.8786558771475768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Data'!$D$313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A-43C5-9740-26C02E48E29B}"/>
            </c:ext>
          </c:extLst>
        </c:ser>
        <c:ser>
          <c:idx val="5"/>
          <c:order val="1"/>
          <c:tx>
            <c:strRef>
              <c:f>'Talnagögn | Numerical Data'!$D$315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A-43C5-9740-26C02E48E29B}"/>
            </c:ext>
          </c:extLst>
        </c:ser>
        <c:ser>
          <c:idx val="4"/>
          <c:order val="2"/>
          <c:tx>
            <c:strRef>
              <c:f>'Talnagögn | Numerical Data'!$D$314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A-43C5-9740-26C02E48E29B}"/>
            </c:ext>
          </c:extLst>
        </c:ser>
        <c:ser>
          <c:idx val="6"/>
          <c:order val="3"/>
          <c:tx>
            <c:strRef>
              <c:f>'Talnagögn | Numerical Data'!$D$316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A-43C5-9740-26C02E48E29B}"/>
            </c:ext>
          </c:extLst>
        </c:ser>
        <c:ser>
          <c:idx val="0"/>
          <c:order val="4"/>
          <c:tx>
            <c:strRef>
              <c:f>'Talnagögn | Numerical Data'!$D$317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A-43C5-9740-26C02E48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209103332480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12555654508094"/>
          <c:y val="0.34151752078452363"/>
          <c:w val="0.14656425120772945"/>
          <c:h val="0.3319392482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58084101349457629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Data'!$E$112</c:f>
              <c:strCache>
                <c:ptCount val="1"/>
                <c:pt idx="0">
                  <c:v>Agricultural Soils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8-461B-96FF-C7F49A25A974}"/>
            </c:ext>
          </c:extLst>
        </c:ser>
        <c:ser>
          <c:idx val="0"/>
          <c:order val="1"/>
          <c:tx>
            <c:strRef>
              <c:f>'Talnagögn | Numerical Data'!$E$110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8-461B-96FF-C7F49A25A974}"/>
            </c:ext>
          </c:extLst>
        </c:ser>
        <c:ser>
          <c:idx val="1"/>
          <c:order val="2"/>
          <c:tx>
            <c:strRef>
              <c:f>'Talnagögn | Numerical Data'!$E$111</c:f>
              <c:strCache>
                <c:ptCount val="1"/>
                <c:pt idx="0">
                  <c:v>Manure Management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8-461B-96FF-C7F49A25A974}"/>
            </c:ext>
          </c:extLst>
        </c:ser>
        <c:ser>
          <c:idx val="3"/>
          <c:order val="3"/>
          <c:tx>
            <c:strRef>
              <c:f>'Talnagögn | Numerical Data'!$E$113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8-461B-96FF-C7F49A25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88057339883423"/>
          <c:y val="0.36378703703703696"/>
          <c:w val="0.31911942660116577"/>
          <c:h val="0.27830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3742990530129284"/>
          <c:h val="0.88088796296296301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A-4D51-B47F-76B064A813B9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A-4D51-B47F-76B064A813B9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A-4D51-B47F-76B064A813B9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A-4D51-B47F-76B064A813B9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A-4D51-B47F-76B064A813B9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BDB4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A-4D51-B47F-76B064A8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22976306942234"/>
          <c:y val="0.28980092592592593"/>
          <c:w val="0.25916104155740716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Data'!$H$117:$AV$117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3-4D3E-AF38-52365687D148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Data'!$H$127:$BU$127</c:f>
              <c:numCache>
                <c:formatCode>0</c:formatCode>
                <c:ptCount val="66"/>
                <c:pt idx="33">
                  <c:v>675.62542094858054</c:v>
                </c:pt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3-4D3E-AF38-52365687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42723842592592592"/>
          <c:w val="0.22476874999999999"/>
          <c:h val="0.1661018518518518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59183296920287198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Data'!$H$151:$AV$151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1-4050-A0B9-CF719777E931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Data'!$H$139:$AV$139</c:f>
              <c:numCache>
                <c:formatCode>0</c:formatCode>
                <c:ptCount val="41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1-4050-A0B9-CF719777E931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Data'!$H$143:$AV$143</c:f>
              <c:numCache>
                <c:formatCode>0</c:formatCode>
                <c:ptCount val="41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1-4050-A0B9-CF719777E931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1-4050-A0B9-CF719777E931}"/>
            </c:ext>
          </c:extLst>
        </c:ser>
        <c:ser>
          <c:idx val="10"/>
          <c:order val="4"/>
          <c:tx>
            <c:strRef>
              <c:f>'Talnagögn | Numerical Data'!$E$147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Data'!$H$147:$AV$147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31-4050-A0B9-CF719777E931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Data'!$H$152:$AV$152</c:f>
              <c:numCache>
                <c:formatCode>0</c:formatCode>
                <c:ptCount val="41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31-4050-A0B9-CF719777E931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Data'!$H$175:$BU$175</c:f>
              <c:numCache>
                <c:formatCode>0</c:formatCode>
                <c:ptCount val="66"/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205.82921128332791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207.48157785666524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209.12538304079396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212.82623931115174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214.0597200765834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31-4050-A0B9-CF719777E931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rgbClr val="9ADCB9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Data'!$H$163:$BU$163</c:f>
              <c:numCache>
                <c:formatCode>0</c:formatCode>
                <c:ptCount val="66"/>
                <c:pt idx="34">
                  <c:v>169.57799558750742</c:v>
                </c:pt>
                <c:pt idx="35">
                  <c:v>169.02712658222563</c:v>
                </c:pt>
                <c:pt idx="36">
                  <c:v>169.48676102943139</c:v>
                </c:pt>
                <c:pt idx="37">
                  <c:v>169.44525871130543</c:v>
                </c:pt>
                <c:pt idx="38">
                  <c:v>169.39561491015104</c:v>
                </c:pt>
                <c:pt idx="39">
                  <c:v>169.3378293893343</c:v>
                </c:pt>
                <c:pt idx="40">
                  <c:v>169.27190191222113</c:v>
                </c:pt>
                <c:pt idx="41">
                  <c:v>169.19783224217761</c:v>
                </c:pt>
                <c:pt idx="42">
                  <c:v>169.11562014256961</c:v>
                </c:pt>
                <c:pt idx="43">
                  <c:v>169.02526537676317</c:v>
                </c:pt>
                <c:pt idx="44">
                  <c:v>168.92676770812429</c:v>
                </c:pt>
                <c:pt idx="45">
                  <c:v>168.82012690001895</c:v>
                </c:pt>
                <c:pt idx="46">
                  <c:v>168.70534271581312</c:v>
                </c:pt>
                <c:pt idx="47">
                  <c:v>168.58241491887276</c:v>
                </c:pt>
                <c:pt idx="48">
                  <c:v>168.45134327256389</c:v>
                </c:pt>
                <c:pt idx="49">
                  <c:v>168.31212754025253</c:v>
                </c:pt>
                <c:pt idx="50">
                  <c:v>168.16476748530457</c:v>
                </c:pt>
                <c:pt idx="51">
                  <c:v>168.00926287108609</c:v>
                </c:pt>
                <c:pt idx="52">
                  <c:v>167.84561346096294</c:v>
                </c:pt>
                <c:pt idx="53">
                  <c:v>167.67381901830126</c:v>
                </c:pt>
                <c:pt idx="54">
                  <c:v>167.49387930646697</c:v>
                </c:pt>
                <c:pt idx="55">
                  <c:v>167.30579408882608</c:v>
                </c:pt>
                <c:pt idx="56">
                  <c:v>167.10956312874447</c:v>
                </c:pt>
                <c:pt idx="57">
                  <c:v>166.90518618958828</c:v>
                </c:pt>
                <c:pt idx="58">
                  <c:v>166.69266303472335</c:v>
                </c:pt>
                <c:pt idx="59">
                  <c:v>166.47199342751574</c:v>
                </c:pt>
                <c:pt idx="60">
                  <c:v>166.24317713133146</c:v>
                </c:pt>
                <c:pt idx="61">
                  <c:v>166.00621390953646</c:v>
                </c:pt>
                <c:pt idx="62">
                  <c:v>165.76110352549671</c:v>
                </c:pt>
                <c:pt idx="63">
                  <c:v>165.50784574257821</c:v>
                </c:pt>
                <c:pt idx="64">
                  <c:v>165.2464403241469</c:v>
                </c:pt>
                <c:pt idx="65">
                  <c:v>164.97688703356889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31-4050-A0B9-CF719777E931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Data'!$H$167:$BU$167</c:f>
              <c:numCache>
                <c:formatCode>0</c:formatCode>
                <c:ptCount val="66"/>
                <c:pt idx="34">
                  <c:v>125.94372494955719</c:v>
                </c:pt>
                <c:pt idx="35">
                  <c:v>125.83234622089682</c:v>
                </c:pt>
                <c:pt idx="36">
                  <c:v>124.52652112525746</c:v>
                </c:pt>
                <c:pt idx="37">
                  <c:v>123.22070184524559</c:v>
                </c:pt>
                <c:pt idx="38">
                  <c:v>121.9148883808612</c:v>
                </c:pt>
                <c:pt idx="39">
                  <c:v>120.60908073210435</c:v>
                </c:pt>
                <c:pt idx="40">
                  <c:v>119.30327889897494</c:v>
                </c:pt>
                <c:pt idx="41">
                  <c:v>117.9974828814731</c:v>
                </c:pt>
                <c:pt idx="42">
                  <c:v>116.69169267959875</c:v>
                </c:pt>
                <c:pt idx="43">
                  <c:v>115.38590829335187</c:v>
                </c:pt>
                <c:pt idx="44">
                  <c:v>114.08012972273251</c:v>
                </c:pt>
                <c:pt idx="45">
                  <c:v>112.77435696774064</c:v>
                </c:pt>
                <c:pt idx="46">
                  <c:v>111.46859002837627</c:v>
                </c:pt>
                <c:pt idx="47">
                  <c:v>110.16282890463944</c:v>
                </c:pt>
                <c:pt idx="48">
                  <c:v>108.85707359653006</c:v>
                </c:pt>
                <c:pt idx="49">
                  <c:v>107.55132410404822</c:v>
                </c:pt>
                <c:pt idx="50">
                  <c:v>106.24558042719383</c:v>
                </c:pt>
                <c:pt idx="51">
                  <c:v>104.93984256596698</c:v>
                </c:pt>
                <c:pt idx="52">
                  <c:v>103.63411052036763</c:v>
                </c:pt>
                <c:pt idx="53">
                  <c:v>102.32838429039576</c:v>
                </c:pt>
                <c:pt idx="54">
                  <c:v>101.02266387605141</c:v>
                </c:pt>
                <c:pt idx="55">
                  <c:v>99.716949277334578</c:v>
                </c:pt>
                <c:pt idx="56">
                  <c:v>98.411240494245206</c:v>
                </c:pt>
                <c:pt idx="57">
                  <c:v>97.105537526783337</c:v>
                </c:pt>
                <c:pt idx="58">
                  <c:v>95.799840374949</c:v>
                </c:pt>
                <c:pt idx="59">
                  <c:v>94.494149038742151</c:v>
                </c:pt>
                <c:pt idx="60">
                  <c:v>93.188463518162806</c:v>
                </c:pt>
                <c:pt idx="61">
                  <c:v>91.882783813210963</c:v>
                </c:pt>
                <c:pt idx="62">
                  <c:v>90.577109923886624</c:v>
                </c:pt>
                <c:pt idx="63">
                  <c:v>89.27144185018976</c:v>
                </c:pt>
                <c:pt idx="64">
                  <c:v>87.965779592120427</c:v>
                </c:pt>
                <c:pt idx="65">
                  <c:v>86.660123149678569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1-4050-A0B9-CF719777E931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rgbClr val="FFBCB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Data'!$H$156:$BU$156</c:f>
              <c:numCache>
                <c:formatCode>0</c:formatCode>
                <c:ptCount val="66"/>
                <c:pt idx="34">
                  <c:v>130.29124808623394</c:v>
                </c:pt>
                <c:pt idx="35">
                  <c:v>133.53019402209071</c:v>
                </c:pt>
                <c:pt idx="36">
                  <c:v>133.31874501620328</c:v>
                </c:pt>
                <c:pt idx="37">
                  <c:v>133.08354432327079</c:v>
                </c:pt>
                <c:pt idx="38">
                  <c:v>132.83845418315664</c:v>
                </c:pt>
                <c:pt idx="39">
                  <c:v>132.54647368579037</c:v>
                </c:pt>
                <c:pt idx="40">
                  <c:v>132.25753398055141</c:v>
                </c:pt>
                <c:pt idx="41">
                  <c:v>131.99092524657419</c:v>
                </c:pt>
                <c:pt idx="42">
                  <c:v>131.73396222968694</c:v>
                </c:pt>
                <c:pt idx="43">
                  <c:v>131.46129922785065</c:v>
                </c:pt>
                <c:pt idx="44">
                  <c:v>131.19423740540788</c:v>
                </c:pt>
                <c:pt idx="45">
                  <c:v>130.92073820426089</c:v>
                </c:pt>
                <c:pt idx="46">
                  <c:v>130.6613750539546</c:v>
                </c:pt>
                <c:pt idx="47">
                  <c:v>130.39207999124358</c:v>
                </c:pt>
                <c:pt idx="48">
                  <c:v>130.13142445901778</c:v>
                </c:pt>
                <c:pt idx="49">
                  <c:v>129.86178898637473</c:v>
                </c:pt>
                <c:pt idx="50">
                  <c:v>129.60273500599294</c:v>
                </c:pt>
                <c:pt idx="51">
                  <c:v>129.33519172760595</c:v>
                </c:pt>
                <c:pt idx="52">
                  <c:v>129.07712594991375</c:v>
                </c:pt>
                <c:pt idx="53">
                  <c:v>128.80994046682153</c:v>
                </c:pt>
                <c:pt idx="54">
                  <c:v>128.552566288349</c:v>
                </c:pt>
                <c:pt idx="55">
                  <c:v>128.28628343912158</c:v>
                </c:pt>
                <c:pt idx="56">
                  <c:v>128.02967964229816</c:v>
                </c:pt>
                <c:pt idx="57">
                  <c:v>127.76391125892718</c:v>
                </c:pt>
                <c:pt idx="58">
                  <c:v>127.5077338823904</c:v>
                </c:pt>
                <c:pt idx="59">
                  <c:v>127.24241115608646</c:v>
                </c:pt>
                <c:pt idx="60">
                  <c:v>126.98663613329313</c:v>
                </c:pt>
                <c:pt idx="61">
                  <c:v>126.72162186406132</c:v>
                </c:pt>
                <c:pt idx="62">
                  <c:v>126.46606882131485</c:v>
                </c:pt>
                <c:pt idx="63">
                  <c:v>126.20122345721956</c:v>
                </c:pt>
                <c:pt idx="64">
                  <c:v>125.94579300426824</c:v>
                </c:pt>
                <c:pt idx="65">
                  <c:v>125.68101075997586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31-4050-A0B9-CF719777E931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4">
                  <c:v>24.817131861593037</c:v>
                </c:pt>
                <c:pt idx="35">
                  <c:v>24.756450354869045</c:v>
                </c:pt>
                <c:pt idx="36">
                  <c:v>24.658098944336494</c:v>
                </c:pt>
                <c:pt idx="37">
                  <c:v>24.559747533803943</c:v>
                </c:pt>
                <c:pt idx="38">
                  <c:v>24.461396123271388</c:v>
                </c:pt>
                <c:pt idx="39">
                  <c:v>24.363044712738834</c:v>
                </c:pt>
                <c:pt idx="40">
                  <c:v>24.264693302206279</c:v>
                </c:pt>
                <c:pt idx="41">
                  <c:v>24.166341891673724</c:v>
                </c:pt>
                <c:pt idx="42">
                  <c:v>24.067990481141173</c:v>
                </c:pt>
                <c:pt idx="43">
                  <c:v>23.969639070608626</c:v>
                </c:pt>
                <c:pt idx="44">
                  <c:v>23.871287660076074</c:v>
                </c:pt>
                <c:pt idx="45">
                  <c:v>23.772936249543523</c:v>
                </c:pt>
                <c:pt idx="46">
                  <c:v>23.674584839010972</c:v>
                </c:pt>
                <c:pt idx="47">
                  <c:v>23.576233428478414</c:v>
                </c:pt>
                <c:pt idx="48">
                  <c:v>23.477882017945859</c:v>
                </c:pt>
                <c:pt idx="49">
                  <c:v>23.379530607413308</c:v>
                </c:pt>
                <c:pt idx="50">
                  <c:v>23.281179196880764</c:v>
                </c:pt>
                <c:pt idx="51">
                  <c:v>23.182827786348206</c:v>
                </c:pt>
                <c:pt idx="52">
                  <c:v>23.084476375815651</c:v>
                </c:pt>
                <c:pt idx="53">
                  <c:v>22.986124965283103</c:v>
                </c:pt>
                <c:pt idx="54">
                  <c:v>22.887773554750549</c:v>
                </c:pt>
                <c:pt idx="55">
                  <c:v>22.789422144217994</c:v>
                </c:pt>
                <c:pt idx="56">
                  <c:v>22.691070733685446</c:v>
                </c:pt>
                <c:pt idx="57">
                  <c:v>22.592719323152888</c:v>
                </c:pt>
                <c:pt idx="58">
                  <c:v>22.494367912620337</c:v>
                </c:pt>
                <c:pt idx="59">
                  <c:v>22.396016502087789</c:v>
                </c:pt>
                <c:pt idx="60">
                  <c:v>22.297665091555228</c:v>
                </c:pt>
                <c:pt idx="61">
                  <c:v>22.19931368102268</c:v>
                </c:pt>
                <c:pt idx="62">
                  <c:v>22.100962270490125</c:v>
                </c:pt>
                <c:pt idx="63">
                  <c:v>22.002610859957574</c:v>
                </c:pt>
                <c:pt idx="64">
                  <c:v>21.904259449425023</c:v>
                </c:pt>
                <c:pt idx="65">
                  <c:v>21.805908038892472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31-4050-A0B9-CF719777E931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Data'!$H$176:$BU$176</c:f>
              <c:numCache>
                <c:formatCode>0</c:formatCode>
                <c:ptCount val="66"/>
                <c:pt idx="34">
                  <c:v>20.377565843128309</c:v>
                </c:pt>
                <c:pt idx="35">
                  <c:v>20.502753147133944</c:v>
                </c:pt>
                <c:pt idx="36">
                  <c:v>20.519592605416278</c:v>
                </c:pt>
                <c:pt idx="37">
                  <c:v>20.476208039313633</c:v>
                </c:pt>
                <c:pt idx="38">
                  <c:v>20.484536507260373</c:v>
                </c:pt>
                <c:pt idx="39">
                  <c:v>20.44111828388975</c:v>
                </c:pt>
                <c:pt idx="40">
                  <c:v>20.449411415441318</c:v>
                </c:pt>
                <c:pt idx="41">
                  <c:v>20.405956276802726</c:v>
                </c:pt>
                <c:pt idx="42">
                  <c:v>20.414211010308691</c:v>
                </c:pt>
                <c:pt idx="43">
                  <c:v>20.370716083155457</c:v>
                </c:pt>
                <c:pt idx="44">
                  <c:v>20.378929726546744</c:v>
                </c:pt>
                <c:pt idx="45">
                  <c:v>20.335392493429936</c:v>
                </c:pt>
                <c:pt idx="46">
                  <c:v>20.343562697940911</c:v>
                </c:pt>
                <c:pt idx="47">
                  <c:v>20.299980973419565</c:v>
                </c:pt>
                <c:pt idx="48">
                  <c:v>20.308105712117708</c:v>
                </c:pt>
                <c:pt idx="49">
                  <c:v>20.264477623453331</c:v>
                </c:pt>
                <c:pt idx="50">
                  <c:v>20.272555173946444</c:v>
                </c:pt>
                <c:pt idx="51">
                  <c:v>20.228879145687188</c:v>
                </c:pt>
                <c:pt idx="52">
                  <c:v>20.236908076465738</c:v>
                </c:pt>
                <c:pt idx="53">
                  <c:v>20.193182818426862</c:v>
                </c:pt>
                <c:pt idx="54">
                  <c:v>20.201161978373193</c:v>
                </c:pt>
                <c:pt idx="55">
                  <c:v>20.157386476580882</c:v>
                </c:pt>
                <c:pt idx="56">
                  <c:v>20.165314987255215</c:v>
                </c:pt>
                <c:pt idx="57">
                  <c:v>20.121488497489054</c:v>
                </c:pt>
                <c:pt idx="58">
                  <c:v>20.129365747852262</c:v>
                </c:pt>
                <c:pt idx="59">
                  <c:v>20.085487791476567</c:v>
                </c:pt>
                <c:pt idx="60">
                  <c:v>20.093313434763331</c:v>
                </c:pt>
                <c:pt idx="61">
                  <c:v>20.049383796580969</c:v>
                </c:pt>
                <c:pt idx="62">
                  <c:v>20.057157749078669</c:v>
                </c:pt>
                <c:pt idx="63">
                  <c:v>20.013176476984086</c:v>
                </c:pt>
                <c:pt idx="64">
                  <c:v>20.020898918512785</c:v>
                </c:pt>
                <c:pt idx="65">
                  <c:v>19.976866324754837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31-4050-A0B9-CF719777E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69619972433613397"/>
          <c:y val="0.29862037037037037"/>
          <c:w val="0.30380027566386603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6-4624-9FFE-5316784AB142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46-4624-9FFE-5316784AB142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46-4624-9FFE-5316784AB14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6-4624-9FFE-5316784AB142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46-4624-9FFE-5316784AB142}"/>
              </c:ext>
            </c:extLst>
          </c:dPt>
          <c:cat>
            <c:strRef>
              <c:f>'Losun | Emissions'!$AG$548:$AG$552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 Emissions</c:v>
                </c:pt>
              </c:strCache>
            </c:strRef>
          </c:cat>
          <c:val>
            <c:numRef>
              <c:f>'Losun | Emissions'!$F$548:$F$552</c:f>
              <c:numCache>
                <c:formatCode>0</c:formatCode>
                <c:ptCount val="5"/>
                <c:pt idx="0">
                  <c:v>-548.98804168208767</c:v>
                </c:pt>
                <c:pt idx="1">
                  <c:v>1904.8811133888019</c:v>
                </c:pt>
                <c:pt idx="2">
                  <c:v>4860.0545959973206</c:v>
                </c:pt>
                <c:pt idx="3">
                  <c:v>17.217344451352297</c:v>
                </c:pt>
                <c:pt idx="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46-4624-9FFE-5316784A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A-4E36-893D-2FE9EEDC257F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A-4E36-893D-2FE9EEDC257F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1A-4E36-893D-2FE9EEDC257F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1A-4E36-893D-2FE9EEDC257F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1A-4E36-893D-2FE9EEDC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4975910290401737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D-49BA-B5C6-C3E26C9FB80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D-49BA-B5C6-C3E26C9FB80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D-49BA-B5C6-C3E26C9FB80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D-49BA-B5C6-C3E26C9FB80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8D-49BA-B5C6-C3E26C9FB801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58D-49BA-B5C6-C3E26C9FB801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AE-430C-956E-917CD57991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8D-49BA-B5C6-C3E26C9FB801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4">
                <a:lumMod val="40000"/>
                <a:lumOff val="60000"/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30196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8D-49BA-B5C6-C3E26C9FB801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E-430C-956E-917CD57991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8D-49BA-B5C6-C3E26C9FB801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8D-49BA-B5C6-C3E26C9FB801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8D-49BA-B5C6-C3E26C9FB801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8D-49BA-B5C6-C3E26C9FB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6383565412057649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6-429E-B6D6-EC7DB667646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6-429E-B6D6-EC7DB667646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6-429E-B6D6-EC7DB667646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6-429E-B6D6-EC7DB667646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46-429E-B6D6-EC7DB6676461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46-429E-B6D6-EC7DB6676461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46-429E-B6D6-EC7DB6676461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46-429E-B6D6-EC7DB6676461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46-429E-B6D6-EC7DB6676461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46-429E-B6D6-EC7DB6676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1503472222222223"/>
          <c:w val="0.1608635578583765"/>
          <c:h val="0.38462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78097827908057"/>
          <c:y val="0.11315123241906459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1F-4A14-B1AD-36D199725926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1F-4A14-B1AD-36D199725926}"/>
              </c:ext>
            </c:extLst>
          </c:dPt>
          <c:dPt>
            <c:idx val="2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1F-4A14-B1AD-36D199725926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F-4A14-B1AD-36D199725926}"/>
              </c:ext>
            </c:extLst>
          </c:dPt>
          <c:dLbls>
            <c:dLbl>
              <c:idx val="0"/>
              <c:layout>
                <c:manualLayout>
                  <c:x val="-0.23782382801050747"/>
                  <c:y val="-0.2385883060459051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Urðun úrgangs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/>
                      <a:t>200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/>
                      <a:t>86%</a:t>
                    </a:r>
                    <a:endParaRPr lang="en-US" sz="800" b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1-091F-4A14-B1AD-36D199725926}"/>
                </c:ext>
              </c:extLst>
            </c:dLbl>
            <c:dLbl>
              <c:idx val="1"/>
              <c:layout>
                <c:manualLayout>
                  <c:x val="0.19759517443647329"/>
                  <c:y val="-0.2636669493927798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737128440655411"/>
                      <c:h val="0.213976458695932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91F-4A14-B1AD-36D199725926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91F-4A14-B1AD-36D199725926}"/>
                </c:ext>
              </c:extLst>
            </c:dLbl>
            <c:dLbl>
              <c:idx val="3"/>
              <c:layout>
                <c:manualLayout>
                  <c:x val="0.22062919371512596"/>
                  <c:y val="0.182347466125902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58549881532562"/>
                      <c:h val="0.174742868708312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91F-4A14-B1AD-36D199725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Emissions'!$AG$631:$AG$634</c:f>
              <c:strCache>
                <c:ptCount val="4"/>
                <c:pt idx="0">
                  <c:v>Solid Waste Disposal on Land</c:v>
                </c:pt>
                <c:pt idx="1">
                  <c:v>Biological Treatment of Solid Waste</c:v>
                </c:pt>
                <c:pt idx="2">
                  <c:v>Incineration and Open Burning</c:v>
                </c:pt>
                <c:pt idx="3">
                  <c:v>Wastewater Treatment and Discharge</c:v>
                </c:pt>
              </c:strCache>
            </c:strRef>
          </c:cat>
          <c:val>
            <c:numRef>
              <c:f>'Losun | Emissions'!$F$631:$F$634</c:f>
              <c:numCache>
                <c:formatCode>0.0</c:formatCode>
                <c:ptCount val="4"/>
                <c:pt idx="0" formatCode="0">
                  <c:v>203.07062729519799</c:v>
                </c:pt>
                <c:pt idx="1">
                  <c:v>6.6237543773473622</c:v>
                </c:pt>
                <c:pt idx="2">
                  <c:v>7.4720719590998144</c:v>
                </c:pt>
                <c:pt idx="3" formatCode="0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1F-4A14-B1AD-36D199725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9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33336864282102E-2"/>
          <c:y val="3.2337962962962964E-2"/>
          <c:w val="0.5942287819403741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B-4421-B3FE-FE4525506FE3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B-4421-B3FE-FE4525506FE3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7B-4421-B3FE-FE4525506FE3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7B-4421-B3FE-FE4525506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45197321186867"/>
          <c:y val="0.34320833333333334"/>
          <c:w val="0.31608464861174862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60059369168682E-2"/>
          <c:y val="3.2963700995399949E-2"/>
          <c:w val="0.63456398475494957"/>
          <c:h val="0.87858315075879045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Data'!$D$315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5-440C-996C-227EC4FEFA88}"/>
            </c:ext>
          </c:extLst>
        </c:ser>
        <c:ser>
          <c:idx val="4"/>
          <c:order val="1"/>
          <c:tx>
            <c:strRef>
              <c:f>'Talnagögn | Numerical Data'!$D$314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5-440C-996C-227EC4FEFA88}"/>
            </c:ext>
          </c:extLst>
        </c:ser>
        <c:ser>
          <c:idx val="6"/>
          <c:order val="2"/>
          <c:tx>
            <c:strRef>
              <c:f>'Talnagögn | Numerical Data'!$D$316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5-440C-996C-227EC4FEFA88}"/>
            </c:ext>
          </c:extLst>
        </c:ser>
        <c:ser>
          <c:idx val="0"/>
          <c:order val="3"/>
          <c:tx>
            <c:strRef>
              <c:f>'Talnagögn | Numerical Data'!$D$317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5-440C-996C-227EC4FEFA88}"/>
            </c:ext>
          </c:extLst>
        </c:ser>
        <c:ser>
          <c:idx val="3"/>
          <c:order val="4"/>
          <c:tx>
            <c:strRef>
              <c:f>'Talnagögn | Numerical Data'!$D$313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5-440C-996C-227EC4FEF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6.37784167058272E-3"/>
              <c:y val="0.14187652415823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972746528385"/>
          <c:y val="0.33243243562108971"/>
          <c:w val="0.13575235995835319"/>
          <c:h val="0.3471216931591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Data'!$H$204:$AV$204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E-470D-A6E3-AF080D269DC9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Data'!$H$211:$BU$211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E-470D-A6E3-AF080D26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31914680321774"/>
          <c:y val="0.43331944444444442"/>
          <c:w val="0.27268686263637543"/>
          <c:h val="0.1570729166666666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B-40C2-8698-4B967EA31D9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DB-40C2-8698-4B967EA31D99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DDB-40C2-8698-4B967EA31D99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DDB-40C2-8698-4B967EA31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Emissions'!$AG$715:$AG$716</c:f>
              <c:strCache>
                <c:ptCount val="2"/>
                <c:pt idx="0">
                  <c:v>International Aviation</c:v>
                </c:pt>
                <c:pt idx="1">
                  <c:v>International Navigation</c:v>
                </c:pt>
              </c:strCache>
            </c:strRef>
          </c:cat>
          <c:val>
            <c:numRef>
              <c:f>'Losun | Emissions'!$F$715:$F$716</c:f>
              <c:numCache>
                <c:formatCode>0</c:formatCode>
                <c:ptCount val="2"/>
                <c:pt idx="0">
                  <c:v>1007.0566484977654</c:v>
                </c:pt>
                <c:pt idx="1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B-40C2-8698-4B967EA31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378304233663562"/>
          <c:h val="0.80690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4-4979-B648-AB8C629F8E50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4-4979-B648-AB8C629F8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28623899627833"/>
          <c:y val="0.4113148148148148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Data'!$H$218:$AV$218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  <c:pt idx="34">
                  <c:v>1330.5207981744095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A-4D2B-8A95-2F6A769246FF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Data'!$H$223:$BU$223</c:f>
              <c:numCache>
                <c:formatCode>0</c:formatCode>
                <c:ptCount val="66"/>
                <c:pt idx="34">
                  <c:v>1330.5207981744095</c:v>
                </c:pt>
                <c:pt idx="35">
                  <c:v>1382.3999556710871</c:v>
                </c:pt>
                <c:pt idx="36">
                  <c:v>1431.677531657499</c:v>
                </c:pt>
                <c:pt idx="37">
                  <c:v>1479.6751138063469</c:v>
                </c:pt>
                <c:pt idx="38">
                  <c:v>1526.0748829048159</c:v>
                </c:pt>
                <c:pt idx="39">
                  <c:v>1571.508764676136</c:v>
                </c:pt>
                <c:pt idx="40">
                  <c:v>1615.9698825922655</c:v>
                </c:pt>
                <c:pt idx="41">
                  <c:v>1628.5287272798437</c:v>
                </c:pt>
                <c:pt idx="42">
                  <c:v>1645.3859177825927</c:v>
                </c:pt>
                <c:pt idx="43">
                  <c:v>1660.0079790471648</c:v>
                </c:pt>
                <c:pt idx="44">
                  <c:v>1672.9570922270614</c:v>
                </c:pt>
                <c:pt idx="45">
                  <c:v>1684.7703220380822</c:v>
                </c:pt>
                <c:pt idx="46">
                  <c:v>1695.3251363460367</c:v>
                </c:pt>
                <c:pt idx="47">
                  <c:v>1704.5000444310808</c:v>
                </c:pt>
                <c:pt idx="48">
                  <c:v>1711.7982821281821</c:v>
                </c:pt>
                <c:pt idx="49">
                  <c:v>1717.0620186193</c:v>
                </c:pt>
                <c:pt idx="50">
                  <c:v>1720.4114601629144</c:v>
                </c:pt>
                <c:pt idx="51">
                  <c:v>1720.6989988375583</c:v>
                </c:pt>
                <c:pt idx="52">
                  <c:v>1718.6354921415373</c:v>
                </c:pt>
                <c:pt idx="53">
                  <c:v>1714.0256002009619</c:v>
                </c:pt>
                <c:pt idx="54">
                  <c:v>1706.765368975038</c:v>
                </c:pt>
                <c:pt idx="55">
                  <c:v>1696.7063915810299</c:v>
                </c:pt>
                <c:pt idx="56">
                  <c:v>1683.9617612220206</c:v>
                </c:pt>
                <c:pt idx="57">
                  <c:v>1668.6283354219756</c:v>
                </c:pt>
                <c:pt idx="58">
                  <c:v>1650.9942988441426</c:v>
                </c:pt>
                <c:pt idx="59">
                  <c:v>1631.3157041861632</c:v>
                </c:pt>
                <c:pt idx="60">
                  <c:v>1611.1471735864218</c:v>
                </c:pt>
                <c:pt idx="61">
                  <c:v>1587.4764571737703</c:v>
                </c:pt>
                <c:pt idx="62">
                  <c:v>1564.1663099809805</c:v>
                </c:pt>
                <c:pt idx="63">
                  <c:v>1541.1287304700868</c:v>
                </c:pt>
                <c:pt idx="64">
                  <c:v>1519.7474352944262</c:v>
                </c:pt>
                <c:pt idx="65">
                  <c:v>1499.6012269248697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A-4D2B-8A95-2F6A76924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75668718437241"/>
          <c:y val="0.3127869421920268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Data'!$E$216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Data'!$H$216:$AO$216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EFB-A7AF-B8BB613E5C54}"/>
            </c:ext>
          </c:extLst>
        </c:ser>
        <c:ser>
          <c:idx val="2"/>
          <c:order val="1"/>
          <c:tx>
            <c:strRef>
              <c:f>'Talnagögn | Numerical Data'!$E$217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Data'!$H$217:$AO$217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EFB-A7AF-B8BB613E5C54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4">
                  <c:v>1007.0566484977654</c:v>
                </c:pt>
                <c:pt idx="35">
                  <c:v>1045.2791915999999</c:v>
                </c:pt>
                <c:pt idx="36">
                  <c:v>1084.6757325599999</c:v>
                </c:pt>
                <c:pt idx="37">
                  <c:v>1123.1191314</c:v>
                </c:pt>
                <c:pt idx="38">
                  <c:v>1160.2916740799999</c:v>
                </c:pt>
                <c:pt idx="39">
                  <c:v>1196.8287886800001</c:v>
                </c:pt>
                <c:pt idx="40">
                  <c:v>1232.7304752</c:v>
                </c:pt>
                <c:pt idx="41">
                  <c:v>1248.6161772</c:v>
                </c:pt>
                <c:pt idx="42">
                  <c:v>1263.5487370800001</c:v>
                </c:pt>
                <c:pt idx="43">
                  <c:v>1276.5750127200001</c:v>
                </c:pt>
                <c:pt idx="44">
                  <c:v>1288.6481462400002</c:v>
                </c:pt>
                <c:pt idx="45">
                  <c:v>1300.4035657200002</c:v>
                </c:pt>
                <c:pt idx="46">
                  <c:v>1311.5235571199999</c:v>
                </c:pt>
                <c:pt idx="47">
                  <c:v>1322.3258344800001</c:v>
                </c:pt>
                <c:pt idx="48">
                  <c:v>1332.17496972</c:v>
                </c:pt>
                <c:pt idx="49">
                  <c:v>1341.3886768799998</c:v>
                </c:pt>
                <c:pt idx="50">
                  <c:v>1350.28467</c:v>
                </c:pt>
                <c:pt idx="51">
                  <c:v>1357.90980696</c:v>
                </c:pt>
                <c:pt idx="52">
                  <c:v>1364.8995158400003</c:v>
                </c:pt>
                <c:pt idx="53">
                  <c:v>1371.25379664</c:v>
                </c:pt>
                <c:pt idx="54">
                  <c:v>1377.2903634000002</c:v>
                </c:pt>
                <c:pt idx="55">
                  <c:v>1382.6915020800002</c:v>
                </c:pt>
                <c:pt idx="56">
                  <c:v>1387.7749267199999</c:v>
                </c:pt>
                <c:pt idx="57">
                  <c:v>1392.2229232800003</c:v>
                </c:pt>
                <c:pt idx="58">
                  <c:v>1396.03549176</c:v>
                </c:pt>
                <c:pt idx="59">
                  <c:v>1399.2126321599999</c:v>
                </c:pt>
                <c:pt idx="60">
                  <c:v>1402.3897725600002</c:v>
                </c:pt>
                <c:pt idx="61">
                  <c:v>1402.7074866</c:v>
                </c:pt>
                <c:pt idx="62">
                  <c:v>1402.7074866</c:v>
                </c:pt>
                <c:pt idx="63">
                  <c:v>1401.7543444800001</c:v>
                </c:pt>
                <c:pt idx="64">
                  <c:v>1400.8012023600002</c:v>
                </c:pt>
                <c:pt idx="65">
                  <c:v>1399.2126321599999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5-4EFB-A7AF-B8BB613E5C54}"/>
            </c:ext>
          </c:extLst>
        </c:ser>
        <c:ser>
          <c:idx val="4"/>
          <c:order val="3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Data'!$H$222:$BU$222</c:f>
              <c:numCache>
                <c:formatCode>0</c:formatCode>
                <c:ptCount val="66"/>
                <c:pt idx="34">
                  <c:v>323.46414967664396</c:v>
                </c:pt>
                <c:pt idx="35">
                  <c:v>337.12076407108702</c:v>
                </c:pt>
                <c:pt idx="36">
                  <c:v>347.00179909749903</c:v>
                </c:pt>
                <c:pt idx="37">
                  <c:v>356.55598240634691</c:v>
                </c:pt>
                <c:pt idx="38">
                  <c:v>365.78320882481597</c:v>
                </c:pt>
                <c:pt idx="39">
                  <c:v>374.67997599613579</c:v>
                </c:pt>
                <c:pt idx="40">
                  <c:v>383.23940739226572</c:v>
                </c:pt>
                <c:pt idx="41">
                  <c:v>379.91255007984364</c:v>
                </c:pt>
                <c:pt idx="42">
                  <c:v>381.83718070259249</c:v>
                </c:pt>
                <c:pt idx="43">
                  <c:v>383.43296632716471</c:v>
                </c:pt>
                <c:pt idx="44">
                  <c:v>384.30894598706141</c:v>
                </c:pt>
                <c:pt idx="45">
                  <c:v>384.36675631808185</c:v>
                </c:pt>
                <c:pt idx="46">
                  <c:v>383.80157922603678</c:v>
                </c:pt>
                <c:pt idx="47">
                  <c:v>382.17420995108097</c:v>
                </c:pt>
                <c:pt idx="48">
                  <c:v>379.6233124081819</c:v>
                </c:pt>
                <c:pt idx="49">
                  <c:v>375.67334173929993</c:v>
                </c:pt>
                <c:pt idx="50">
                  <c:v>370.12679016291435</c:v>
                </c:pt>
                <c:pt idx="51">
                  <c:v>362.78919187755815</c:v>
                </c:pt>
                <c:pt idx="52">
                  <c:v>353.73597630153722</c:v>
                </c:pt>
                <c:pt idx="53">
                  <c:v>342.77180356096181</c:v>
                </c:pt>
                <c:pt idx="54">
                  <c:v>329.4750055750381</c:v>
                </c:pt>
                <c:pt idx="55">
                  <c:v>314.01488950102998</c:v>
                </c:pt>
                <c:pt idx="56">
                  <c:v>296.18683450202064</c:v>
                </c:pt>
                <c:pt idx="57">
                  <c:v>276.40541214197532</c:v>
                </c:pt>
                <c:pt idx="58">
                  <c:v>254.95880708414251</c:v>
                </c:pt>
                <c:pt idx="59">
                  <c:v>232.10307202616318</c:v>
                </c:pt>
                <c:pt idx="60">
                  <c:v>208.75740102642192</c:v>
                </c:pt>
                <c:pt idx="61">
                  <c:v>184.76897057377025</c:v>
                </c:pt>
                <c:pt idx="62">
                  <c:v>161.45882338098048</c:v>
                </c:pt>
                <c:pt idx="63">
                  <c:v>139.37438599008678</c:v>
                </c:pt>
                <c:pt idx="64">
                  <c:v>118.94623293442605</c:v>
                </c:pt>
                <c:pt idx="65">
                  <c:v>100.38859476486985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C5-4EFB-A7AF-B8BB613E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501354448341849"/>
          <c:y val="0.416184199586559"/>
          <c:w val="0.22067947831153084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52087994351E-2"/>
          <c:y val="4.7037037037037037E-2"/>
          <c:w val="0.62655225583216123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Data'!$E$216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1-415F-80BB-723F9028AB43}"/>
            </c:ext>
          </c:extLst>
        </c:ser>
        <c:ser>
          <c:idx val="1"/>
          <c:order val="1"/>
          <c:tx>
            <c:strRef>
              <c:f>'Talnagögn | Numerical Data'!$E$217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1-415F-80BB-723F9028A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5855732720504161E-4"/>
              <c:y val="0.25436828703703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00217672183589"/>
          <c:y val="0.40543518518518518"/>
          <c:w val="0.23046908805377703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0982149668843623E-2"/>
          <c:w val="0.63509708326369652"/>
          <c:h val="0.88588189790838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13E-A379-D78ACAFD031E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0-413E-A379-D78ACAFD031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0-413E-A379-D78ACAFD031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0-413E-A379-D78ACAFD0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351324673361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7344116800726"/>
          <c:y val="0.36668139261325228"/>
          <c:w val="0.19617713465151351"/>
          <c:h val="0.27790345101671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60541164641060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63603233646238677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2-4482-90C3-5474D206DB96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2-4482-90C3-5474D206DB96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12-4482-90C3-5474D206DB96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12-4482-90C3-5474D206DB96}"/>
            </c:ext>
          </c:extLst>
        </c:ser>
        <c:ser>
          <c:idx val="4"/>
          <c:order val="4"/>
          <c:tx>
            <c:strRef>
              <c:f>'Talnagögn | Numerical Data'!$D$29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12-4482-90C3-5474D206DB96}"/>
            </c:ext>
          </c:extLst>
        </c:ser>
        <c:ser>
          <c:idx val="6"/>
          <c:order val="5"/>
          <c:tx>
            <c:strRef>
              <c:f>'Talnagögn | Numerical Data'!$D$31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12-4482-90C3-5474D206DB96}"/>
            </c:ext>
          </c:extLst>
        </c:ser>
        <c:ser>
          <c:idx val="2"/>
          <c:order val="6"/>
          <c:tx>
            <c:strRef>
              <c:f>'Talnagögn | Numerical Data'!$D$27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12-4482-90C3-5474D206DB96}"/>
            </c:ext>
          </c:extLst>
        </c:ser>
        <c:ser>
          <c:idx val="7"/>
          <c:order val="7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12-4482-90C3-5474D206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38180234439222"/>
          <c:y val="0.23196959822289126"/>
          <c:w val="0.23372747335230581"/>
          <c:h val="0.5390497185138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541942414415924"/>
          <c:y val="5.7322963443746993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64027077294685986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8-44ED-820A-616EC3C71DF8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8-44ED-820A-616EC3C71DF8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8-44ED-820A-616EC3C71DF8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8-44ED-820A-616EC3C71DF8}"/>
            </c:ext>
          </c:extLst>
        </c:ser>
        <c:ser>
          <c:idx val="4"/>
          <c:order val="4"/>
          <c:tx>
            <c:strRef>
              <c:f>'Talnagögn | Numerical Data'!$D$29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58-44ED-820A-616EC3C71DF8}"/>
            </c:ext>
          </c:extLst>
        </c:ser>
        <c:ser>
          <c:idx val="7"/>
          <c:order val="5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8-44ED-820A-616EC3C71DF8}"/>
            </c:ext>
          </c:extLst>
        </c:ser>
        <c:ser>
          <c:idx val="6"/>
          <c:order val="6"/>
          <c:tx>
            <c:strRef>
              <c:f>'Talnagögn | Numerical Data'!$D$31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58-44ED-820A-616EC3C71DF8}"/>
            </c:ext>
          </c:extLst>
        </c:ser>
        <c:ser>
          <c:idx val="2"/>
          <c:order val="7"/>
          <c:tx>
            <c:strRef>
              <c:f>'Talnagögn | Numerical Data'!$D$27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58-44ED-820A-616EC3C71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7427536231885"/>
          <c:y val="0.25516599058535738"/>
          <c:w val="0.25592572463768115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5536152180827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64340384970416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3-4BDD-B444-9C492047CD58}"/>
            </c:ext>
          </c:extLst>
        </c:ser>
        <c:ser>
          <c:idx val="5"/>
          <c:order val="1"/>
          <c:tx>
            <c:v>Framreiknuð losun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6463-4BDD-B444-9C492047CD58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63-4BDD-B444-9C492047C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25462687845335"/>
          <c:y val="0.41965399587447844"/>
          <c:w val="0.21706658880490315"/>
          <c:h val="0.1819728392082267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31298970246555E-2"/>
          <c:y val="7.5412037037037027E-2"/>
          <c:w val="0.63348222195283432"/>
          <c:h val="0.8405594907407406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Data'!$E$313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43A3-A29A-E7F005577FF3}"/>
            </c:ext>
          </c:extLst>
        </c:ser>
        <c:ser>
          <c:idx val="5"/>
          <c:order val="1"/>
          <c:tx>
            <c:strRef>
              <c:f>'Talnagögn | Numerical Data'!$E$315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B-43A3-A29A-E7F005577FF3}"/>
            </c:ext>
          </c:extLst>
        </c:ser>
        <c:ser>
          <c:idx val="4"/>
          <c:order val="2"/>
          <c:tx>
            <c:strRef>
              <c:f>'Talnagögn | Numerical Data'!$E$314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B-43A3-A29A-E7F005577FF3}"/>
            </c:ext>
          </c:extLst>
        </c:ser>
        <c:ser>
          <c:idx val="6"/>
          <c:order val="3"/>
          <c:tx>
            <c:strRef>
              <c:f>'Talnagögn | Numerical Data'!$E$316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B-43A3-A29A-E7F005577FF3}"/>
            </c:ext>
          </c:extLst>
        </c:ser>
        <c:ser>
          <c:idx val="0"/>
          <c:order val="4"/>
          <c:tx>
            <c:strRef>
              <c:f>'Talnagögn | Numerical Data'!$E$317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B-43A3-A29A-E7F00557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1.6673016416488273E-3"/>
              <c:y val="0.2365190059695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1864128696626"/>
          <c:y val="0.3009593264159855"/>
          <c:w val="0.11064953930888899"/>
          <c:h val="0.33545154602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22164597265383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Data'!$H$28:$AV$28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0-47FD-AE20-E7D5C782EB55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Data'!$H$26:$AV$26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0-47FD-AE20-E7D5C782EB55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Data'!$H$30:$AV$30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0-47FD-AE20-E7D5C782EB55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Data'!$H$25:$AV$25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90-47FD-AE20-E7D5C782EB55}"/>
            </c:ext>
          </c:extLst>
        </c:ser>
        <c:ser>
          <c:idx val="7"/>
          <c:order val="4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Data'!$H$34:$AV$34</c:f>
              <c:numCache>
                <c:formatCode>0</c:formatCode>
                <c:ptCount val="41"/>
                <c:pt idx="0">
                  <c:v>1074.4387499433192</c:v>
                </c:pt>
                <c:pt idx="1">
                  <c:v>958.70398338857137</c:v>
                </c:pt>
                <c:pt idx="2">
                  <c:v>1026.3243744497001</c:v>
                </c:pt>
                <c:pt idx="3">
                  <c:v>1134.4758493033651</c:v>
                </c:pt>
                <c:pt idx="4">
                  <c:v>1092.5957578294842</c:v>
                </c:pt>
                <c:pt idx="5">
                  <c:v>1169.2592351617141</c:v>
                </c:pt>
                <c:pt idx="6">
                  <c:v>1239.6707280927508</c:v>
                </c:pt>
                <c:pt idx="7">
                  <c:v>1294.8716439403879</c:v>
                </c:pt>
                <c:pt idx="8">
                  <c:v>1251.7051173306972</c:v>
                </c:pt>
                <c:pt idx="9">
                  <c:v>1385.5321636582773</c:v>
                </c:pt>
                <c:pt idx="10">
                  <c:v>1473.7453645331011</c:v>
                </c:pt>
                <c:pt idx="11">
                  <c:v>1528.8247059081086</c:v>
                </c:pt>
                <c:pt idx="12">
                  <c:v>1525.9905574588652</c:v>
                </c:pt>
                <c:pt idx="13">
                  <c:v>1462.5218314193883</c:v>
                </c:pt>
                <c:pt idx="14">
                  <c:v>1537.0591615811052</c:v>
                </c:pt>
                <c:pt idx="15">
                  <c:v>1455.7818349561385</c:v>
                </c:pt>
                <c:pt idx="16">
                  <c:v>1519.4142588904219</c:v>
                </c:pt>
                <c:pt idx="17">
                  <c:v>1562.6275811962951</c:v>
                </c:pt>
                <c:pt idx="18">
                  <c:v>1478.5983913114371</c:v>
                </c:pt>
                <c:pt idx="19">
                  <c:v>1293.6292417069376</c:v>
                </c:pt>
                <c:pt idx="20">
                  <c:v>1294.3523513506686</c:v>
                </c:pt>
                <c:pt idx="21">
                  <c:v>1282.0623793041154</c:v>
                </c:pt>
                <c:pt idx="22">
                  <c:v>1244.686387169513</c:v>
                </c:pt>
                <c:pt idx="23">
                  <c:v>1254.402073119983</c:v>
                </c:pt>
                <c:pt idx="24">
                  <c:v>1230.4028272343298</c:v>
                </c:pt>
                <c:pt idx="25">
                  <c:v>1247.0820254913283</c:v>
                </c:pt>
                <c:pt idx="26">
                  <c:v>1272.7430504514477</c:v>
                </c:pt>
                <c:pt idx="27">
                  <c:v>1256.8078564803052</c:v>
                </c:pt>
                <c:pt idx="28">
                  <c:v>1301.2379192135381</c:v>
                </c:pt>
                <c:pt idx="29">
                  <c:v>1256.4113461042775</c:v>
                </c:pt>
                <c:pt idx="30">
                  <c:v>1211.7932018350775</c:v>
                </c:pt>
                <c:pt idx="31">
                  <c:v>1238.8626666117607</c:v>
                </c:pt>
                <c:pt idx="32">
                  <c:v>1320.6761874215169</c:v>
                </c:pt>
                <c:pt idx="33">
                  <c:v>1158.698606665831</c:v>
                </c:pt>
                <c:pt idx="34">
                  <c:v>1325.5189377143379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90-47FD-AE20-E7D5C782EB55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Data'!$H$39:$BU$39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0-47FD-AE20-E7D5C782EB55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Data'!$H$37:$BU$37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90-47FD-AE20-E7D5C782EB55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Data'!$H$41:$BU$41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90-47FD-AE20-E7D5C782EB55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Data'!$H$36:$BU$36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0-47FD-AE20-E7D5C782EB55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General</c:formatCode>
                <c:ptCount val="66"/>
                <c:pt idx="33">
                  <c:v>1158.698606665831</c:v>
                </c:pt>
                <c:pt idx="34">
                  <c:v>1325.5189377143379</c:v>
                </c:pt>
                <c:pt idx="35" formatCode="0">
                  <c:v>1089.0023171435573</c:v>
                </c:pt>
                <c:pt idx="36" formatCode="0">
                  <c:v>1139.5588520259084</c:v>
                </c:pt>
                <c:pt idx="37" formatCode="0">
                  <c:v>1123.5832856552374</c:v>
                </c:pt>
                <c:pt idx="38" formatCode="0">
                  <c:v>1061.3056076859211</c:v>
                </c:pt>
                <c:pt idx="39" formatCode="0">
                  <c:v>1037.8922511612402</c:v>
                </c:pt>
                <c:pt idx="40" formatCode="0">
                  <c:v>1021.4503723115212</c:v>
                </c:pt>
                <c:pt idx="41" formatCode="0">
                  <c:v>993.12194616619797</c:v>
                </c:pt>
                <c:pt idx="42" formatCode="0">
                  <c:v>984.45638938945672</c:v>
                </c:pt>
                <c:pt idx="43" formatCode="0">
                  <c:v>986.06659263117365</c:v>
                </c:pt>
                <c:pt idx="44" formatCode="0">
                  <c:v>970.92949244119347</c:v>
                </c:pt>
                <c:pt idx="45" formatCode="0">
                  <c:v>954.69632582286476</c:v>
                </c:pt>
                <c:pt idx="46" formatCode="0">
                  <c:v>947.49052000465474</c:v>
                </c:pt>
                <c:pt idx="47" formatCode="0">
                  <c:v>940.08834414861576</c:v>
                </c:pt>
                <c:pt idx="48" formatCode="0">
                  <c:v>932.21331037518871</c:v>
                </c:pt>
                <c:pt idx="49" formatCode="0">
                  <c:v>924.62754875412838</c:v>
                </c:pt>
                <c:pt idx="50" formatCode="0">
                  <c:v>916.87488685222388</c:v>
                </c:pt>
                <c:pt idx="51" formatCode="0">
                  <c:v>909.01641629820676</c:v>
                </c:pt>
                <c:pt idx="52" formatCode="0">
                  <c:v>900.72343953330858</c:v>
                </c:pt>
                <c:pt idx="53" formatCode="0">
                  <c:v>892.53053964273329</c:v>
                </c:pt>
                <c:pt idx="54" formatCode="0">
                  <c:v>884.42023768959098</c:v>
                </c:pt>
                <c:pt idx="55" formatCode="0">
                  <c:v>876.35304620635486</c:v>
                </c:pt>
                <c:pt idx="56" formatCode="0">
                  <c:v>868.34359820281236</c:v>
                </c:pt>
                <c:pt idx="57" formatCode="0">
                  <c:v>860.40545670731365</c:v>
                </c:pt>
                <c:pt idx="58" formatCode="0">
                  <c:v>851.75205329743483</c:v>
                </c:pt>
                <c:pt idx="59" formatCode="0">
                  <c:v>843.05592698957219</c:v>
                </c:pt>
                <c:pt idx="60" formatCode="0">
                  <c:v>834.15143642900864</c:v>
                </c:pt>
                <c:pt idx="61" formatCode="0">
                  <c:v>826.75437028565148</c:v>
                </c:pt>
                <c:pt idx="62" formatCode="0">
                  <c:v>818.29353619037954</c:v>
                </c:pt>
                <c:pt idx="63" formatCode="0">
                  <c:v>810.07849605506237</c:v>
                </c:pt>
                <c:pt idx="64" formatCode="0">
                  <c:v>802.21303843784153</c:v>
                </c:pt>
                <c:pt idx="65" formatCode="0">
                  <c:v>792.33825955030659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90-47FD-AE20-E7D5C782E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D-4E7F-A421-5DA856CA3CE6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3D-4E7F-A421-5DA856CA3CE6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23D-4E7F-A421-5DA856CA3CE6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23D-4E7F-A421-5DA856CA3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Emissions'!$E$715:$E$716</c:f>
              <c:strCache>
                <c:ptCount val="2"/>
                <c:pt idx="0">
                  <c:v>Alþjóðaflug</c:v>
                </c:pt>
                <c:pt idx="1">
                  <c:v>Alþjóðasiglingar</c:v>
                </c:pt>
              </c:strCache>
            </c:strRef>
          </c:cat>
          <c:val>
            <c:numRef>
              <c:f>'Losun | Emissions'!$F$715:$F$716</c:f>
              <c:numCache>
                <c:formatCode>0</c:formatCode>
                <c:ptCount val="2"/>
                <c:pt idx="0">
                  <c:v>1007.0566484977654</c:v>
                </c:pt>
                <c:pt idx="1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3D-4E7F-A421-5DA856CA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D-40C8-9308-72684156C750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D-40C8-9308-72684156C750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D-40C8-9308-72684156C750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DD-40C8-9308-72684156C750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DD-40C8-9308-72684156C750}"/>
            </c:ext>
          </c:extLst>
        </c:ser>
        <c:ser>
          <c:idx val="8"/>
          <c:order val="5"/>
          <c:tx>
            <c:v>LULUCF proj.</c:v>
          </c:tx>
          <c:spPr>
            <a:solidFill>
              <a:srgbClr val="68A200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DD-40C8-9308-72684156C750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DD-40C8-9308-72684156C750}"/>
            </c:ext>
          </c:extLst>
        </c:ser>
        <c:ser>
          <c:idx val="6"/>
          <c:order val="6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DD-40C8-9308-72684156C750}"/>
            </c:ext>
          </c:extLst>
        </c:ser>
        <c:ser>
          <c:idx val="5"/>
          <c:order val="7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DD-40C8-9308-72684156C750}"/>
            </c:ext>
          </c:extLst>
        </c:ser>
        <c:ser>
          <c:idx val="7"/>
          <c:order val="8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DD-40C8-9308-72684156C750}"/>
            </c:ext>
          </c:extLst>
        </c:ser>
        <c:ser>
          <c:idx val="9"/>
          <c:order val="9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CDD-40C8-9308-72684156C750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DD-40C8-9308-72684156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75546874999999"/>
          <c:y val="0.33855324074074072"/>
          <c:w val="0.2131716145833333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48309178743967E-2"/>
          <c:y val="4.7724305555555561E-2"/>
          <c:w val="0.63507814009661834"/>
          <c:h val="0.852351388888888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3-4D87-A04A-50EF7FF36199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3-4D87-A04A-50EF7FF36199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93-4D87-A04A-50EF7FF36199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93-4D87-A04A-50EF7FF36199}"/>
            </c:ext>
          </c:extLst>
        </c:ser>
        <c:ser>
          <c:idx val="5"/>
          <c:order val="4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93-4D87-A04A-50EF7FF36199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93-4D87-A04A-50EF7FF36199}"/>
            </c:ext>
          </c:extLst>
        </c:ser>
        <c:ser>
          <c:idx val="6"/>
          <c:order val="5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93-4D87-A04A-50EF7FF36199}"/>
            </c:ext>
          </c:extLst>
        </c:ser>
        <c:ser>
          <c:idx val="7"/>
          <c:order val="6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693-4D87-A04A-50EF7FF36199}"/>
            </c:ext>
          </c:extLst>
        </c:ser>
        <c:ser>
          <c:idx val="9"/>
          <c:order val="7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4693-4D87-A04A-50EF7FF36199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693-4D87-A04A-50EF7FF3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5.4756617801053967E-4"/>
              <c:y val="0.166469933738684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012584541062799"/>
          <c:y val="0.38730555555555557"/>
          <c:w val="0.19925821256038645"/>
          <c:h val="0.22538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Data'!$H$117:$AV$117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EB5-9582-F2C5782CE247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Data'!$H$127:$BU$127</c:f>
              <c:numCache>
                <c:formatCode>0</c:formatCode>
                <c:ptCount val="66"/>
                <c:pt idx="33">
                  <c:v>675.62542094858054</c:v>
                </c:pt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EB5-9582-F2C5782CE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39784027777777775"/>
          <c:w val="0.22476874999999999"/>
          <c:h val="0.2101990740740740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Data'!$H$216:$AO$216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5-49C9-AF3E-719F7E7DD872}"/>
            </c:ext>
          </c:extLst>
        </c:ser>
        <c:ser>
          <c:idx val="2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Data'!$H$217:$AO$217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5-49C9-AF3E-719F7E7DD872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4">
                  <c:v>1007.0566484977654</c:v>
                </c:pt>
                <c:pt idx="35">
                  <c:v>1045.2791915999999</c:v>
                </c:pt>
                <c:pt idx="36">
                  <c:v>1084.6757325599999</c:v>
                </c:pt>
                <c:pt idx="37">
                  <c:v>1123.1191314</c:v>
                </c:pt>
                <c:pt idx="38">
                  <c:v>1160.2916740799999</c:v>
                </c:pt>
                <c:pt idx="39">
                  <c:v>1196.8287886800001</c:v>
                </c:pt>
                <c:pt idx="40">
                  <c:v>1232.7304752</c:v>
                </c:pt>
                <c:pt idx="41">
                  <c:v>1248.6161772</c:v>
                </c:pt>
                <c:pt idx="42">
                  <c:v>1263.5487370800001</c:v>
                </c:pt>
                <c:pt idx="43">
                  <c:v>1276.5750127200001</c:v>
                </c:pt>
                <c:pt idx="44">
                  <c:v>1288.6481462400002</c:v>
                </c:pt>
                <c:pt idx="45">
                  <c:v>1300.4035657200002</c:v>
                </c:pt>
                <c:pt idx="46">
                  <c:v>1311.5235571199999</c:v>
                </c:pt>
                <c:pt idx="47">
                  <c:v>1322.3258344800001</c:v>
                </c:pt>
                <c:pt idx="48">
                  <c:v>1332.17496972</c:v>
                </c:pt>
                <c:pt idx="49">
                  <c:v>1341.3886768799998</c:v>
                </c:pt>
                <c:pt idx="50">
                  <c:v>1350.28467</c:v>
                </c:pt>
                <c:pt idx="51">
                  <c:v>1357.90980696</c:v>
                </c:pt>
                <c:pt idx="52">
                  <c:v>1364.8995158400003</c:v>
                </c:pt>
                <c:pt idx="53">
                  <c:v>1371.25379664</c:v>
                </c:pt>
                <c:pt idx="54">
                  <c:v>1377.2903634000002</c:v>
                </c:pt>
                <c:pt idx="55">
                  <c:v>1382.6915020800002</c:v>
                </c:pt>
                <c:pt idx="56">
                  <c:v>1387.7749267199999</c:v>
                </c:pt>
                <c:pt idx="57">
                  <c:v>1392.2229232800003</c:v>
                </c:pt>
                <c:pt idx="58">
                  <c:v>1396.03549176</c:v>
                </c:pt>
                <c:pt idx="59">
                  <c:v>1399.2126321599999</c:v>
                </c:pt>
                <c:pt idx="60">
                  <c:v>1402.3897725600002</c:v>
                </c:pt>
                <c:pt idx="61">
                  <c:v>1402.7074866</c:v>
                </c:pt>
                <c:pt idx="62">
                  <c:v>1402.7074866</c:v>
                </c:pt>
                <c:pt idx="63">
                  <c:v>1401.7543444800001</c:v>
                </c:pt>
                <c:pt idx="64">
                  <c:v>1400.8012023600002</c:v>
                </c:pt>
                <c:pt idx="65">
                  <c:v>1399.2126321599999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5-49C9-AF3E-719F7E7DD872}"/>
            </c:ext>
          </c:extLst>
        </c:ser>
        <c:ser>
          <c:idx val="4"/>
          <c:order val="3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Data'!$H$222:$BU$222</c:f>
              <c:numCache>
                <c:formatCode>0</c:formatCode>
                <c:ptCount val="66"/>
                <c:pt idx="34">
                  <c:v>323.46414967664396</c:v>
                </c:pt>
                <c:pt idx="35">
                  <c:v>337.12076407108702</c:v>
                </c:pt>
                <c:pt idx="36">
                  <c:v>347.00179909749903</c:v>
                </c:pt>
                <c:pt idx="37">
                  <c:v>356.55598240634691</c:v>
                </c:pt>
                <c:pt idx="38">
                  <c:v>365.78320882481597</c:v>
                </c:pt>
                <c:pt idx="39">
                  <c:v>374.67997599613579</c:v>
                </c:pt>
                <c:pt idx="40">
                  <c:v>383.23940739226572</c:v>
                </c:pt>
                <c:pt idx="41">
                  <c:v>379.91255007984364</c:v>
                </c:pt>
                <c:pt idx="42">
                  <c:v>381.83718070259249</c:v>
                </c:pt>
                <c:pt idx="43">
                  <c:v>383.43296632716471</c:v>
                </c:pt>
                <c:pt idx="44">
                  <c:v>384.30894598706141</c:v>
                </c:pt>
                <c:pt idx="45">
                  <c:v>384.36675631808185</c:v>
                </c:pt>
                <c:pt idx="46">
                  <c:v>383.80157922603678</c:v>
                </c:pt>
                <c:pt idx="47">
                  <c:v>382.17420995108097</c:v>
                </c:pt>
                <c:pt idx="48">
                  <c:v>379.6233124081819</c:v>
                </c:pt>
                <c:pt idx="49">
                  <c:v>375.67334173929993</c:v>
                </c:pt>
                <c:pt idx="50">
                  <c:v>370.12679016291435</c:v>
                </c:pt>
                <c:pt idx="51">
                  <c:v>362.78919187755815</c:v>
                </c:pt>
                <c:pt idx="52">
                  <c:v>353.73597630153722</c:v>
                </c:pt>
                <c:pt idx="53">
                  <c:v>342.77180356096181</c:v>
                </c:pt>
                <c:pt idx="54">
                  <c:v>329.4750055750381</c:v>
                </c:pt>
                <c:pt idx="55">
                  <c:v>314.01488950102998</c:v>
                </c:pt>
                <c:pt idx="56">
                  <c:v>296.18683450202064</c:v>
                </c:pt>
                <c:pt idx="57">
                  <c:v>276.40541214197532</c:v>
                </c:pt>
                <c:pt idx="58">
                  <c:v>254.95880708414251</c:v>
                </c:pt>
                <c:pt idx="59">
                  <c:v>232.10307202616318</c:v>
                </c:pt>
                <c:pt idx="60">
                  <c:v>208.75740102642192</c:v>
                </c:pt>
                <c:pt idx="61">
                  <c:v>184.76897057377025</c:v>
                </c:pt>
                <c:pt idx="62">
                  <c:v>161.45882338098048</c:v>
                </c:pt>
                <c:pt idx="63">
                  <c:v>139.37438599008678</c:v>
                </c:pt>
                <c:pt idx="64">
                  <c:v>118.94623293442605</c:v>
                </c:pt>
                <c:pt idx="65">
                  <c:v>100.38859476486985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5-49C9-AF3E-719F7E7DD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501354448341849"/>
          <c:y val="0.416184199586559"/>
          <c:w val="0.16918519540209312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/>
              <a:t>án losunar frá</a:t>
            </a:r>
          </a:p>
          <a:p>
            <a:pPr>
              <a:defRPr/>
            </a:pPr>
            <a:r>
              <a:rPr lang="is-IS" sz="1200"/>
              <a:t>landnotkun</a:t>
            </a:r>
          </a:p>
        </c:rich>
      </c:tx>
      <c:layout>
        <c:manualLayout>
          <c:xMode val="edge"/>
          <c:yMode val="edge"/>
          <c:x val="0.41698571597966022"/>
          <c:y val="0.5044879859839707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1-4C87-B851-00F56B08352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41-4C87-B851-00F56B08352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41-4C87-B851-00F56B083520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641-4C87-B851-00F56B083520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641-4C87-B851-00F56B083520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71C5BB-9C84-4F63-804E-762D55E7A449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7A35FD79-CDA5-4D4A-89ED-114A0C33BAF6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641-4C87-B851-00F56B083520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641-4C87-B851-00F56B083520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641-4C87-B851-00F56B083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Emissions'!$E$21:$E$24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'Losun | Emissions'!$F$21:$F$24</c:f>
              <c:numCache>
                <c:formatCode>0</c:formatCode>
                <c:ptCount val="4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41-4C87-B851-00F56B083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14717593286462E-2"/>
          <c:y val="3.2452447987808844E-2"/>
          <c:w val="0.6392989130434783"/>
          <c:h val="0.880466274542599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5-4D66-9563-839BB46C5894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5-4D66-9563-839BB46C5894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05-4D66-9563-839BB46C5894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05-4D66-9563-839BB46C5894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05-4D66-9563-839BB46C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5252000018529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313236714975851"/>
          <c:y val="0.32252422339084419"/>
          <c:w val="0.19322526850729521"/>
          <c:h val="0.35786473126079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6761102653865E-2"/>
          <c:y val="3.2053950024976866E-2"/>
          <c:w val="0.68476980023364664"/>
          <c:h val="0.8819342116916711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5-44F2-8A25-D11DABCEF7A7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5-44F2-8A25-D11DABCEF7A7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5-44F2-8A25-D11DABCEF7A7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E5-44F2-8A25-D11DABCEF7A7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E5-44F2-8A25-D11DABCEF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60470750619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27530990137229"/>
          <c:y val="0.33207955188868143"/>
          <c:w val="0.20901431656329433"/>
          <c:h val="0.353597516379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179516358463727E-2"/>
          <c:w val="0.63615613600723842"/>
          <c:h val="0.88288728307254627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5-4386-B221-835B53CA63A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5-4386-B221-835B53CA63A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5-4386-B221-835B53CA63A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05-4386-B221-835B53CA6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52438631176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10392009802495"/>
          <c:y val="0.35451152204836411"/>
          <c:w val="0.21261062797469998"/>
          <c:h val="0.30822347396938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88730183291429E-2"/>
          <c:y val="8.5005787037037026E-2"/>
          <c:w val="0.62629683486265586"/>
          <c:h val="0.84291921296296302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Data'!$E$315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0-4B76-BBFD-EF682F13CF14}"/>
            </c:ext>
          </c:extLst>
        </c:ser>
        <c:ser>
          <c:idx val="4"/>
          <c:order val="1"/>
          <c:tx>
            <c:strRef>
              <c:f>'Talnagögn | Numerical Data'!$E$314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0-4B76-BBFD-EF682F13CF14}"/>
            </c:ext>
          </c:extLst>
        </c:ser>
        <c:ser>
          <c:idx val="6"/>
          <c:order val="2"/>
          <c:tx>
            <c:strRef>
              <c:f>'Talnagögn | Numerical Data'!$E$316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0-4B76-BBFD-EF682F13CF14}"/>
            </c:ext>
          </c:extLst>
        </c:ser>
        <c:ser>
          <c:idx val="0"/>
          <c:order val="3"/>
          <c:tx>
            <c:strRef>
              <c:f>'Talnagögn | Numerical Data'!$E$317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C0-4B76-BBFD-EF682F13CF14}"/>
            </c:ext>
          </c:extLst>
        </c:ser>
        <c:ser>
          <c:idx val="3"/>
          <c:order val="4"/>
          <c:tx>
            <c:strRef>
              <c:f>'Talnagögn | Numerical Data'!$E$313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C0-4B76-BBFD-EF682F13C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3.454921556464137E-4"/>
              <c:y val="0.27776250000000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12589204556068"/>
          <c:y val="0.32385416666666667"/>
          <c:w val="0.1293695565062899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2-4C04-9A78-12192B8B068A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2-4C04-9A78-12192B8B068A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2-4C04-9A78-12192B8B068A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52-4C04-9A78-12192B8B068A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52-4C04-9A78-12192B8B068A}"/>
            </c:ext>
          </c:extLst>
        </c:ser>
        <c:ser>
          <c:idx val="8"/>
          <c:order val="5"/>
          <c:tx>
            <c:v>LULUCF proj.</c:v>
          </c:tx>
          <c:spPr>
            <a:ln w="19050" cap="rnd">
              <a:solidFill>
                <a:srgbClr val="68A2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2-4C04-9A78-12192B8B068A}"/>
            </c:ext>
          </c:extLst>
        </c:ser>
        <c:ser>
          <c:idx val="5"/>
          <c:order val="6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52-4C04-9A78-12192B8B068A}"/>
            </c:ext>
          </c:extLst>
        </c:ser>
        <c:ser>
          <c:idx val="6"/>
          <c:order val="7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52-4C04-9A78-12192B8B068A}"/>
            </c:ext>
          </c:extLst>
        </c:ser>
        <c:ser>
          <c:idx val="7"/>
          <c:order val="8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52-4C04-9A78-12192B8B068A}"/>
            </c:ext>
          </c:extLst>
        </c:ser>
        <c:ser>
          <c:idx val="9"/>
          <c:order val="9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52-4C04-9A78-12192B8B0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MEÐ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LANDNOTKUN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9925.3621960525979</c:v>
                </c:pt>
                <c:pt idx="1">
                  <c:v>9730.2197631567033</c:v>
                </c:pt>
                <c:pt idx="2">
                  <c:v>9654.9636597270292</c:v>
                </c:pt>
                <c:pt idx="3">
                  <c:v>9750.3243167235996</c:v>
                </c:pt>
                <c:pt idx="4">
                  <c:v>9676.783809493385</c:v>
                </c:pt>
                <c:pt idx="5">
                  <c:v>9792.1496858362825</c:v>
                </c:pt>
                <c:pt idx="6">
                  <c:v>9842.5019314887104</c:v>
                </c:pt>
                <c:pt idx="7">
                  <c:v>9999.7886053670245</c:v>
                </c:pt>
                <c:pt idx="8">
                  <c:v>10147.748562053956</c:v>
                </c:pt>
                <c:pt idx="9">
                  <c:v>10373.627069026516</c:v>
                </c:pt>
                <c:pt idx="10">
                  <c:v>10411.65891898997</c:v>
                </c:pt>
                <c:pt idx="11">
                  <c:v>10319.431025854115</c:v>
                </c:pt>
                <c:pt idx="12">
                  <c:v>10423.070677652242</c:v>
                </c:pt>
                <c:pt idx="13">
                  <c:v>10389.505118156812</c:v>
                </c:pt>
                <c:pt idx="14">
                  <c:v>10503.267259304008</c:v>
                </c:pt>
                <c:pt idx="15">
                  <c:v>10362.363824392367</c:v>
                </c:pt>
                <c:pt idx="16">
                  <c:v>10972.339971400736</c:v>
                </c:pt>
                <c:pt idx="17">
                  <c:v>11182.72086377362</c:v>
                </c:pt>
                <c:pt idx="18">
                  <c:v>11608.101205520203</c:v>
                </c:pt>
                <c:pt idx="19">
                  <c:v>11360.951688703126</c:v>
                </c:pt>
                <c:pt idx="20">
                  <c:v>11240.754174455162</c:v>
                </c:pt>
                <c:pt idx="21">
                  <c:v>11007.994272392265</c:v>
                </c:pt>
                <c:pt idx="22">
                  <c:v>11005.990216227779</c:v>
                </c:pt>
                <c:pt idx="23">
                  <c:v>11011.9809385637</c:v>
                </c:pt>
                <c:pt idx="24">
                  <c:v>11028.247886094605</c:v>
                </c:pt>
                <c:pt idx="25">
                  <c:v>11089.998794360896</c:v>
                </c:pt>
                <c:pt idx="26">
                  <c:v>11032.279230635189</c:v>
                </c:pt>
                <c:pt idx="27">
                  <c:v>11086.224093880986</c:v>
                </c:pt>
                <c:pt idx="28">
                  <c:v>11138.159200325152</c:v>
                </c:pt>
                <c:pt idx="29">
                  <c:v>11009.885596376129</c:v>
                </c:pt>
                <c:pt idx="30">
                  <c:v>10829.55170028296</c:v>
                </c:pt>
                <c:pt idx="31">
                  <c:v>10974.016972400603</c:v>
                </c:pt>
                <c:pt idx="32">
                  <c:v>11019.195296400034</c:v>
                </c:pt>
                <c:pt idx="33">
                  <c:v>10890.594939509254</c:v>
                </c:pt>
                <c:pt idx="34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0-4853-AC70-85AC2D238D32}"/>
            </c:ext>
          </c:extLst>
        </c:ser>
        <c:ser>
          <c:idx val="5"/>
          <c:order val="1"/>
          <c:tx>
            <c:v>Framreiknuð losun</c:v>
          </c:tx>
          <c:spPr>
            <a:ln w="1905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4">
                  <c:v>11042.082672269855</c:v>
                </c:pt>
                <c:pt idx="35">
                  <c:v>10769.078188733039</c:v>
                </c:pt>
                <c:pt idx="36">
                  <c:v>10787.020214403454</c:v>
                </c:pt>
                <c:pt idx="37">
                  <c:v>10727.657964430666</c:v>
                </c:pt>
                <c:pt idx="38">
                  <c:v>10623.188857873205</c:v>
                </c:pt>
                <c:pt idx="39">
                  <c:v>10551.879358681947</c:v>
                </c:pt>
                <c:pt idx="40">
                  <c:v>10480.411719752532</c:v>
                </c:pt>
                <c:pt idx="41">
                  <c:v>10385.325229901742</c:v>
                </c:pt>
                <c:pt idx="42">
                  <c:v>10311.623494962978</c:v>
                </c:pt>
                <c:pt idx="43">
                  <c:v>10237.587541113695</c:v>
                </c:pt>
                <c:pt idx="44">
                  <c:v>10145.636894515499</c:v>
                </c:pt>
                <c:pt idx="45">
                  <c:v>10036.887504978267</c:v>
                </c:pt>
                <c:pt idx="46">
                  <c:v>9933.6832697117807</c:v>
                </c:pt>
                <c:pt idx="47">
                  <c:v>9852.0770243297538</c:v>
                </c:pt>
                <c:pt idx="48">
                  <c:v>9740.0609553923969</c:v>
                </c:pt>
                <c:pt idx="49">
                  <c:v>9620.8998626756857</c:v>
                </c:pt>
                <c:pt idx="50">
                  <c:v>9501.8590852859852</c:v>
                </c:pt>
                <c:pt idx="51">
                  <c:v>9368.1928065818993</c:v>
                </c:pt>
                <c:pt idx="52">
                  <c:v>9243.982745665684</c:v>
                </c:pt>
                <c:pt idx="53">
                  <c:v>9117.1956826933438</c:v>
                </c:pt>
                <c:pt idx="54">
                  <c:v>8996.1400927358445</c:v>
                </c:pt>
                <c:pt idx="55">
                  <c:v>8876.3677830016768</c:v>
                </c:pt>
                <c:pt idx="56">
                  <c:v>8750.8667336881972</c:v>
                </c:pt>
                <c:pt idx="57">
                  <c:v>8624.2309166506984</c:v>
                </c:pt>
                <c:pt idx="58">
                  <c:v>8504.3100585144384</c:v>
                </c:pt>
                <c:pt idx="59">
                  <c:v>8377.1498329689166</c:v>
                </c:pt>
                <c:pt idx="60">
                  <c:v>8254.0390623486255</c:v>
                </c:pt>
                <c:pt idx="61">
                  <c:v>8127.7497921658496</c:v>
                </c:pt>
                <c:pt idx="62">
                  <c:v>8013.4712284672387</c:v>
                </c:pt>
                <c:pt idx="63">
                  <c:v>7891.7673724409042</c:v>
                </c:pt>
                <c:pt idx="64">
                  <c:v>7775.208054967361</c:v>
                </c:pt>
                <c:pt idx="65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0-4853-AC70-85AC2D238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9851449275362"/>
          <c:y val="0.41858750000000006"/>
          <c:w val="0.23486222814062807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01351732829504E-2"/>
          <c:y val="5.5484259259259254E-2"/>
          <c:w val="0.66121518883648245"/>
          <c:h val="0.85243472222222227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3-4F6D-A456-757DC95E028E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3-4F6D-A456-757DC95E028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3-4F6D-A456-757DC95E028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3-4F6D-A456-757DC95E028E}"/>
            </c:ext>
          </c:extLst>
        </c:ser>
        <c:ser>
          <c:idx val="5"/>
          <c:order val="4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63-4F6D-A456-757DC95E028E}"/>
            </c:ext>
          </c:extLst>
        </c:ser>
        <c:ser>
          <c:idx val="6"/>
          <c:order val="5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3-4F6D-A456-757DC95E028E}"/>
            </c:ext>
          </c:extLst>
        </c:ser>
        <c:ser>
          <c:idx val="7"/>
          <c:order val="6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63-4F6D-A456-757DC95E028E}"/>
            </c:ext>
          </c:extLst>
        </c:ser>
        <c:ser>
          <c:idx val="9"/>
          <c:order val="7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63-4F6D-A456-757DC95E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0710249169242013E-3"/>
              <c:y val="0.179954596713908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ÁN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LANDNOTKUNAR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B-4580-8440-EAA8DA58F7A0}"/>
            </c:ext>
          </c:extLst>
        </c:ser>
        <c:ser>
          <c:idx val="5"/>
          <c:order val="1"/>
          <c:tx>
            <c:v>Framreiknuð losun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B-4580-8440-EAA8DA58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19191533816425121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B-45E8-8E69-BE54F406C197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B-45E8-8E69-BE54F406C197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B-45E8-8E69-BE54F406C197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Data'!$H$87:$AV$87</c15:sqref>
                  </c15:fullRef>
                </c:ext>
              </c:extLst>
              <c:f>'Talnagögn | Numerical Data'!$H$87:$AP$87</c:f>
              <c:numCache>
                <c:formatCode>0</c:formatCode>
                <c:ptCount val="35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  <c:pt idx="34">
                  <c:v>11.079378686252676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DB-45E8-8E69-BE54F406C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85564083713828"/>
          <c:y val="0.36858888888888897"/>
          <c:w val="0.26114435916286177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B-40D7-9FDE-638E1902A8BE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B-40D7-9FDE-638E1902A8BE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B-40D7-9FDE-638E1902A8BE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DB-40D7-9FDE-638E1902A8BE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DB-40D7-9FDE-638E1902A8BE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B-40D7-9FDE-638E1902A8BE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DB-40D7-9FDE-638E1902A8BE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DB-40D7-9FDE-638E1902A8BE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DB-40D7-9FDE-638E1902A8BE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DB-40D7-9FDE-638E1902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1503472222222223"/>
          <c:w val="0.1608635578583765"/>
          <c:h val="0.38462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5106999455026"/>
          <c:y val="4.7037037037037037E-2"/>
          <c:w val="0.63620742807118424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F-48AD-9816-4F65D5D2970C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F-48AD-9816-4F65D5D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148285024154585"/>
          <c:y val="0.40837499999999999"/>
          <c:w val="0.16288288238061577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B-4AEA-8AF1-0AD68331F087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B-4AEA-8AF1-0AD68331F087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1B-4AEA-8AF1-0AD68331F087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1B-4AEA-8AF1-0AD68331F087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1B-4AEA-8AF1-0AD68331F087}"/>
            </c:ext>
          </c:extLst>
        </c:ser>
        <c:ser>
          <c:idx val="8"/>
          <c:order val="5"/>
          <c:tx>
            <c:v>LULUCF proj.</c:v>
          </c:tx>
          <c:spPr>
            <a:solidFill>
              <a:srgbClr val="68A200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D1B-4AEA-8AF1-0AD68331F087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1B-4AEA-8AF1-0AD68331F087}"/>
            </c:ext>
          </c:extLst>
        </c:ser>
        <c:ser>
          <c:idx val="6"/>
          <c:order val="6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1B-4AEA-8AF1-0AD68331F087}"/>
            </c:ext>
          </c:extLst>
        </c:ser>
        <c:ser>
          <c:idx val="5"/>
          <c:order val="7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1B-4AEA-8AF1-0AD68331F087}"/>
            </c:ext>
          </c:extLst>
        </c:ser>
        <c:ser>
          <c:idx val="7"/>
          <c:order val="8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1B-4AEA-8AF1-0AD68331F087}"/>
            </c:ext>
          </c:extLst>
        </c:ser>
        <c:ser>
          <c:idx val="9"/>
          <c:order val="9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2D1B-4AEA-8AF1-0AD68331F087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D1B-4AEA-8AF1-0AD68331F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714088541666668"/>
          <c:y val="0.32679398148148148"/>
          <c:w val="0.1387575520833333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9-449B-9A25-0E8BE7E4382E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9-449B-9A25-0E8BE7E4382E}"/>
            </c:ext>
          </c:extLst>
        </c:ser>
        <c:ser>
          <c:idx val="1"/>
          <c:order val="2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9-449B-9A25-0E8BE7E4382E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19-449B-9A25-0E8BE7E4382E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19-449B-9A25-0E8BE7E4382E}"/>
            </c:ext>
          </c:extLst>
        </c:ser>
        <c:ser>
          <c:idx val="8"/>
          <c:order val="5"/>
          <c:tx>
            <c:v>LULUCF proj.</c:v>
          </c:tx>
          <c:spPr>
            <a:ln w="19050" cap="rnd">
              <a:solidFill>
                <a:srgbClr val="68A2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9-449B-9A25-0E8BE7E4382E}"/>
            </c:ext>
          </c:extLst>
        </c:ser>
        <c:ser>
          <c:idx val="5"/>
          <c:order val="6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19-449B-9A25-0E8BE7E4382E}"/>
            </c:ext>
          </c:extLst>
        </c:ser>
        <c:ser>
          <c:idx val="6"/>
          <c:order val="7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19-449B-9A25-0E8BE7E4382E}"/>
            </c:ext>
          </c:extLst>
        </c:ser>
        <c:ser>
          <c:idx val="7"/>
          <c:order val="8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19-449B-9A25-0E8BE7E4382E}"/>
            </c:ext>
          </c:extLst>
        </c:ser>
        <c:ser>
          <c:idx val="9"/>
          <c:order val="9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19-449B-9A25-0E8BE7E43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7065572916666669"/>
          <c:y val="0.31503472222222223"/>
          <c:w val="0.13012552083333334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INCL.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9925.3621960525979</c:v>
                </c:pt>
                <c:pt idx="1">
                  <c:v>9730.2197631567033</c:v>
                </c:pt>
                <c:pt idx="2">
                  <c:v>9654.9636597270292</c:v>
                </c:pt>
                <c:pt idx="3">
                  <c:v>9750.3243167235996</c:v>
                </c:pt>
                <c:pt idx="4">
                  <c:v>9676.783809493385</c:v>
                </c:pt>
                <c:pt idx="5">
                  <c:v>9792.1496858362825</c:v>
                </c:pt>
                <c:pt idx="6">
                  <c:v>9842.5019314887104</c:v>
                </c:pt>
                <c:pt idx="7">
                  <c:v>9999.7886053670245</c:v>
                </c:pt>
                <c:pt idx="8">
                  <c:v>10147.748562053956</c:v>
                </c:pt>
                <c:pt idx="9">
                  <c:v>10373.627069026516</c:v>
                </c:pt>
                <c:pt idx="10">
                  <c:v>10411.65891898997</c:v>
                </c:pt>
                <c:pt idx="11">
                  <c:v>10319.431025854115</c:v>
                </c:pt>
                <c:pt idx="12">
                  <c:v>10423.070677652242</c:v>
                </c:pt>
                <c:pt idx="13">
                  <c:v>10389.505118156812</c:v>
                </c:pt>
                <c:pt idx="14">
                  <c:v>10503.267259304008</c:v>
                </c:pt>
                <c:pt idx="15">
                  <c:v>10362.363824392367</c:v>
                </c:pt>
                <c:pt idx="16">
                  <c:v>10972.339971400736</c:v>
                </c:pt>
                <c:pt idx="17">
                  <c:v>11182.72086377362</c:v>
                </c:pt>
                <c:pt idx="18">
                  <c:v>11608.101205520203</c:v>
                </c:pt>
                <c:pt idx="19">
                  <c:v>11360.951688703126</c:v>
                </c:pt>
                <c:pt idx="20">
                  <c:v>11240.754174455162</c:v>
                </c:pt>
                <c:pt idx="21">
                  <c:v>11007.994272392265</c:v>
                </c:pt>
                <c:pt idx="22">
                  <c:v>11005.990216227779</c:v>
                </c:pt>
                <c:pt idx="23">
                  <c:v>11011.9809385637</c:v>
                </c:pt>
                <c:pt idx="24">
                  <c:v>11028.247886094605</c:v>
                </c:pt>
                <c:pt idx="25">
                  <c:v>11089.998794360896</c:v>
                </c:pt>
                <c:pt idx="26">
                  <c:v>11032.279230635189</c:v>
                </c:pt>
                <c:pt idx="27">
                  <c:v>11086.224093880986</c:v>
                </c:pt>
                <c:pt idx="28">
                  <c:v>11138.159200325152</c:v>
                </c:pt>
                <c:pt idx="29">
                  <c:v>11009.885596376129</c:v>
                </c:pt>
                <c:pt idx="30">
                  <c:v>10829.55170028296</c:v>
                </c:pt>
                <c:pt idx="31">
                  <c:v>10974.016972400603</c:v>
                </c:pt>
                <c:pt idx="32">
                  <c:v>11019.195296400034</c:v>
                </c:pt>
                <c:pt idx="33">
                  <c:v>10890.594939509254</c:v>
                </c:pt>
                <c:pt idx="34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5-447E-81FE-04560C3F37A0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4">
                  <c:v>11042.082672269855</c:v>
                </c:pt>
                <c:pt idx="35">
                  <c:v>10769.078188733039</c:v>
                </c:pt>
                <c:pt idx="36">
                  <c:v>10787.020214403454</c:v>
                </c:pt>
                <c:pt idx="37">
                  <c:v>10727.657964430666</c:v>
                </c:pt>
                <c:pt idx="38">
                  <c:v>10623.188857873205</c:v>
                </c:pt>
                <c:pt idx="39">
                  <c:v>10551.879358681947</c:v>
                </c:pt>
                <c:pt idx="40">
                  <c:v>10480.411719752532</c:v>
                </c:pt>
                <c:pt idx="41">
                  <c:v>10385.325229901742</c:v>
                </c:pt>
                <c:pt idx="42">
                  <c:v>10311.623494962978</c:v>
                </c:pt>
                <c:pt idx="43">
                  <c:v>10237.587541113695</c:v>
                </c:pt>
                <c:pt idx="44">
                  <c:v>10145.636894515499</c:v>
                </c:pt>
                <c:pt idx="45">
                  <c:v>10036.887504978267</c:v>
                </c:pt>
                <c:pt idx="46">
                  <c:v>9933.6832697117807</c:v>
                </c:pt>
                <c:pt idx="47">
                  <c:v>9852.0770243297538</c:v>
                </c:pt>
                <c:pt idx="48">
                  <c:v>9740.0609553923969</c:v>
                </c:pt>
                <c:pt idx="49">
                  <c:v>9620.8998626756857</c:v>
                </c:pt>
                <c:pt idx="50">
                  <c:v>9501.8590852859852</c:v>
                </c:pt>
                <c:pt idx="51">
                  <c:v>9368.1928065818993</c:v>
                </c:pt>
                <c:pt idx="52">
                  <c:v>9243.982745665684</c:v>
                </c:pt>
                <c:pt idx="53">
                  <c:v>9117.1956826933438</c:v>
                </c:pt>
                <c:pt idx="54">
                  <c:v>8996.1400927358445</c:v>
                </c:pt>
                <c:pt idx="55">
                  <c:v>8876.3677830016768</c:v>
                </c:pt>
                <c:pt idx="56">
                  <c:v>8750.8667336881972</c:v>
                </c:pt>
                <c:pt idx="57">
                  <c:v>8624.2309166506984</c:v>
                </c:pt>
                <c:pt idx="58">
                  <c:v>8504.3100585144384</c:v>
                </c:pt>
                <c:pt idx="59">
                  <c:v>8377.1498329689166</c:v>
                </c:pt>
                <c:pt idx="60">
                  <c:v>8254.0390623486255</c:v>
                </c:pt>
                <c:pt idx="61">
                  <c:v>8127.7497921658496</c:v>
                </c:pt>
                <c:pt idx="62">
                  <c:v>8013.4712284672387</c:v>
                </c:pt>
                <c:pt idx="63">
                  <c:v>7891.7673724409042</c:v>
                </c:pt>
                <c:pt idx="64">
                  <c:v>7775.208054967361</c:v>
                </c:pt>
                <c:pt idx="65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5-447E-81FE-04560C3F3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9851449275362"/>
          <c:y val="0.41858750000000006"/>
          <c:w val="0.23486222814062807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184211846130699"/>
          <c:h val="0.772879629629629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1-4884-86AF-DAB744EC3EB4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1-4884-86AF-DAB744EC3EB4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1-4884-86AF-DAB744EC3EB4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1-4884-86AF-DAB744EC3EB4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1-4884-86AF-DAB744EC3EB4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1A1-4884-86AF-DAB744EC3E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01-4E87-8FFD-BBECD6817F85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A1-4884-86AF-DAB744EC3EB4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9ADCB9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A1-4884-86AF-DAB744EC3E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1-4E87-8FFD-BBECD6817F85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A1-4884-86AF-DAB744EC3EB4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A1-4884-86AF-DAB744EC3EB4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338DE9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A1-4884-86AF-DAB744EC3EB4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A1-4884-86AF-DAB744EC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5910162037037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558089673504191"/>
          <c:y val="0.30621527777777785"/>
          <c:w val="0.1413617784241937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1"/>
          <c:order val="0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6-4727-91DA-20D49D110AB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86-4727-91DA-20D49D110ABB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86-4727-91DA-20D49D110ABB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86-4727-91DA-20D49D110ABB}"/>
            </c:ext>
          </c:extLst>
        </c:ser>
        <c:ser>
          <c:idx val="6"/>
          <c:order val="4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86-4727-91DA-20D49D110ABB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E86-4727-91DA-20D49D110ABB}"/>
            </c:ext>
          </c:extLst>
        </c:ser>
        <c:ser>
          <c:idx val="5"/>
          <c:order val="5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86-4727-91DA-20D49D110ABB}"/>
            </c:ext>
          </c:extLst>
        </c:ser>
        <c:ser>
          <c:idx val="7"/>
          <c:order val="6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86-4727-91DA-20D49D110ABB}"/>
            </c:ext>
          </c:extLst>
        </c:ser>
        <c:ser>
          <c:idx val="9"/>
          <c:order val="7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E86-4727-91DA-20D49D110ABB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86-4727-91DA-20D49D11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714088541666668"/>
          <c:y val="0.32679398148148148"/>
          <c:w val="0.1387575520833333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5-4ED0-B48B-6E9C25B9969E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5-4ED0-B48B-6E9C25B9969E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5-4ED0-B48B-6E9C25B9969E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5-4ED0-B48B-6E9C25B9969E}"/>
            </c:ext>
          </c:extLst>
        </c:ser>
        <c:ser>
          <c:idx val="5"/>
          <c:order val="4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05-4ED0-B48B-6E9C25B9969E}"/>
            </c:ext>
          </c:extLst>
        </c:ser>
        <c:ser>
          <c:idx val="6"/>
          <c:order val="5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05-4ED0-B48B-6E9C25B9969E}"/>
            </c:ext>
          </c:extLst>
        </c:ser>
        <c:ser>
          <c:idx val="7"/>
          <c:order val="6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5-4ED0-B48B-6E9C25B9969E}"/>
            </c:ext>
          </c:extLst>
        </c:ser>
        <c:ser>
          <c:idx val="9"/>
          <c:order val="7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05-4ED0-B48B-6E9C25B9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7065572916666669"/>
          <c:y val="0.31503472222222223"/>
          <c:w val="0.13012552083333334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F-444E-B7DA-B4502BD8B2DD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F-444E-B7DA-B4502BD8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26302213541666669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0-4134-A588-678CB2D3155C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0-4134-A588-678CB2D31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26302213541666669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2372093308929211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855092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Data'!$H$153:$AV$153</c15:sqref>
                  </c15:fullRef>
                </c:ext>
              </c:extLst>
              <c:f>'Talnagögn | Numerical Data'!$H$153:$AP$153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8-40AA-94DE-4BFEC14C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Data'!$D$132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rgbClr val="41A86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8-40AA-94DE-4BFEC14C279E}"/>
            </c:ext>
          </c:extLst>
        </c:ser>
        <c:ser>
          <c:idx val="1"/>
          <c:order val="2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8-40AA-94DE-4BFEC14C279E}"/>
            </c:ext>
          </c:extLst>
        </c:ser>
        <c:ser>
          <c:idx val="2"/>
          <c:order val="3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E8-40AA-94DE-4BFEC14C279E}"/>
            </c:ext>
          </c:extLst>
        </c:ser>
        <c:ser>
          <c:idx val="3"/>
          <c:order val="4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rgbClr val="32323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E8-40AA-94DE-4BFEC14C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86409031164394"/>
          <c:y val="0.33658594468231867"/>
          <c:w val="0.22813590968835604"/>
          <c:h val="0.3042938240307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B-484D-B5D5-A18DDDA447A6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B-484D-B5D5-A18DDDA447A6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B-484D-B5D5-A18DDDA447A6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B-484D-B5D5-A18DDDA447A6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8B-484D-B5D5-A18DDDA447A6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B-484D-B5D5-A18DDDA44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71316425120771"/>
          <c:y val="0.29568055555555556"/>
          <c:w val="0.24828742420149477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5.8796296296296298E-2"/>
          <c:w val="0.63750454090859732"/>
          <c:h val="0.85442962962962976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Data'!$H$50:$AV$50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9-4BE7-8B7F-5F9002EB2FB3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Data'!$H$49:$AV$49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9-4BE7-8B7F-5F9002EB2FB3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Data'!$H$60:$AV$60</c:f>
              <c:numCache>
                <c:formatCode>0</c:formatCode>
                <c:ptCount val="41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9-4BE7-8B7F-5F9002EB2FB3}"/>
            </c:ext>
          </c:extLst>
        </c:ser>
        <c:ser>
          <c:idx val="2"/>
          <c:order val="3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Data'!$H$63:$AO$63</c:f>
              <c:numCache>
                <c:formatCode>0</c:formatCode>
                <c:ptCount val="34"/>
                <c:pt idx="0">
                  <c:v>487.84247404583988</c:v>
                </c:pt>
                <c:pt idx="1">
                  <c:v>397.54108448729539</c:v>
                </c:pt>
                <c:pt idx="2">
                  <c:v>450.03083199137416</c:v>
                </c:pt>
                <c:pt idx="3">
                  <c:v>482.53036931780383</c:v>
                </c:pt>
                <c:pt idx="4">
                  <c:v>455.47319300252616</c:v>
                </c:pt>
                <c:pt idx="5">
                  <c:v>495.37999222203285</c:v>
                </c:pt>
                <c:pt idx="6">
                  <c:v>550.89964723441426</c:v>
                </c:pt>
                <c:pt idx="7">
                  <c:v>587.29588027603518</c:v>
                </c:pt>
                <c:pt idx="8">
                  <c:v>569.9619115112414</c:v>
                </c:pt>
                <c:pt idx="9">
                  <c:v>589.92683999183339</c:v>
                </c:pt>
                <c:pt idx="10">
                  <c:v>523.75542384347955</c:v>
                </c:pt>
                <c:pt idx="11">
                  <c:v>571.27629644169178</c:v>
                </c:pt>
                <c:pt idx="12">
                  <c:v>570.71568384941202</c:v>
                </c:pt>
                <c:pt idx="13">
                  <c:v>524.82314480932143</c:v>
                </c:pt>
                <c:pt idx="14">
                  <c:v>578.79682358846981</c:v>
                </c:pt>
                <c:pt idx="15">
                  <c:v>521.8076021982431</c:v>
                </c:pt>
                <c:pt idx="16">
                  <c:v>532.71064669796044</c:v>
                </c:pt>
                <c:pt idx="17">
                  <c:v>529.08460475015636</c:v>
                </c:pt>
                <c:pt idx="18">
                  <c:v>478.27684277400903</c:v>
                </c:pt>
                <c:pt idx="19">
                  <c:v>339.66562888503029</c:v>
                </c:pt>
                <c:pt idx="20">
                  <c:v>290.97294786993359</c:v>
                </c:pt>
                <c:pt idx="21">
                  <c:v>268.39175021510448</c:v>
                </c:pt>
                <c:pt idx="22">
                  <c:v>238.78310895781118</c:v>
                </c:pt>
                <c:pt idx="23">
                  <c:v>223.73119854552414</c:v>
                </c:pt>
                <c:pt idx="24">
                  <c:v>211.06205032997616</c:v>
                </c:pt>
                <c:pt idx="25">
                  <c:v>238.20490920939281</c:v>
                </c:pt>
                <c:pt idx="26">
                  <c:v>256.20259389796888</c:v>
                </c:pt>
                <c:pt idx="27">
                  <c:v>238.9914615555449</c:v>
                </c:pt>
                <c:pt idx="28">
                  <c:v>227.93849551468577</c:v>
                </c:pt>
                <c:pt idx="29">
                  <c:v>212.31756996310648</c:v>
                </c:pt>
                <c:pt idx="30">
                  <c:v>145.33950435111626</c:v>
                </c:pt>
                <c:pt idx="31">
                  <c:v>155.36577057737315</c:v>
                </c:pt>
                <c:pt idx="32">
                  <c:v>222.39121979177997</c:v>
                </c:pt>
                <c:pt idx="33">
                  <c:v>191.18077811873465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9-4BE7-8B7F-5F9002EB2FB3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09-4BE7-8B7F-5F9002EB2FB3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Data'!$H$66:$BU$66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9-4BE7-8B7F-5F9002EB2FB3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Data'!$H$79:$BU$79</c:f>
              <c:numCache>
                <c:formatCode>0</c:formatCode>
                <c:ptCount val="66"/>
                <c:pt idx="33">
                  <c:v>191.18077811873465</c:v>
                </c:pt>
                <c:pt idx="34">
                  <c:v>217.34480085199726</c:v>
                </c:pt>
                <c:pt idx="35">
                  <c:v>196.03403827849752</c:v>
                </c:pt>
                <c:pt idx="36">
                  <c:v>193.18209136518865</c:v>
                </c:pt>
                <c:pt idx="37">
                  <c:v>190.87600509692686</c:v>
                </c:pt>
                <c:pt idx="38">
                  <c:v>189.51578447362098</c:v>
                </c:pt>
                <c:pt idx="39">
                  <c:v>187.35163947759236</c:v>
                </c:pt>
                <c:pt idx="40">
                  <c:v>183.35381502857922</c:v>
                </c:pt>
                <c:pt idx="41">
                  <c:v>181.19924003834194</c:v>
                </c:pt>
                <c:pt idx="42">
                  <c:v>177.5539997024801</c:v>
                </c:pt>
                <c:pt idx="43">
                  <c:v>177.36909408292786</c:v>
                </c:pt>
                <c:pt idx="44">
                  <c:v>176.7539375082971</c:v>
                </c:pt>
                <c:pt idx="45">
                  <c:v>171.14091477904299</c:v>
                </c:pt>
                <c:pt idx="46">
                  <c:v>169.50421335316173</c:v>
                </c:pt>
                <c:pt idx="47">
                  <c:v>167.33039646355832</c:v>
                </c:pt>
                <c:pt idx="48">
                  <c:v>164.64173769629213</c:v>
                </c:pt>
                <c:pt idx="49">
                  <c:v>161.25218911487895</c:v>
                </c:pt>
                <c:pt idx="50">
                  <c:v>157.3065163948105</c:v>
                </c:pt>
                <c:pt idx="51">
                  <c:v>152.65097228117656</c:v>
                </c:pt>
                <c:pt idx="52">
                  <c:v>147.72116236821171</c:v>
                </c:pt>
                <c:pt idx="53">
                  <c:v>142.61238905124236</c:v>
                </c:pt>
                <c:pt idx="54">
                  <c:v>137.32379130507235</c:v>
                </c:pt>
                <c:pt idx="55">
                  <c:v>131.84181149851378</c:v>
                </c:pt>
                <c:pt idx="56">
                  <c:v>126.1021760727229</c:v>
                </c:pt>
                <c:pt idx="57">
                  <c:v>120.07595462679632</c:v>
                </c:pt>
                <c:pt idx="58">
                  <c:v>113.71958145140508</c:v>
                </c:pt>
                <c:pt idx="59">
                  <c:v>107.01817089608954</c:v>
                </c:pt>
                <c:pt idx="60">
                  <c:v>99.847282903207599</c:v>
                </c:pt>
                <c:pt idx="61">
                  <c:v>94.215186082677548</c:v>
                </c:pt>
                <c:pt idx="62">
                  <c:v>87.370894578404403</c:v>
                </c:pt>
                <c:pt idx="63">
                  <c:v>80.612169619713598</c:v>
                </c:pt>
                <c:pt idx="64">
                  <c:v>74.040646921914146</c:v>
                </c:pt>
                <c:pt idx="65">
                  <c:v>67.727694695065253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09-4BE7-8B7F-5F9002EB2FB3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Data'!$H$76:$BU$76</c:f>
              <c:numCache>
                <c:formatCode>0</c:formatCode>
                <c:ptCount val="66"/>
                <c:pt idx="34">
                  <c:v>223.69103641446083</c:v>
                </c:pt>
                <c:pt idx="35">
                  <c:v>161.90923786466362</c:v>
                </c:pt>
                <c:pt idx="36">
                  <c:v>149.35848944804636</c:v>
                </c:pt>
                <c:pt idx="37">
                  <c:v>149.38516559080051</c:v>
                </c:pt>
                <c:pt idx="38">
                  <c:v>149.37895541529147</c:v>
                </c:pt>
                <c:pt idx="39">
                  <c:v>149.37420348471278</c:v>
                </c:pt>
                <c:pt idx="40">
                  <c:v>136.58084149693491</c:v>
                </c:pt>
                <c:pt idx="41">
                  <c:v>136.5789334656464</c:v>
                </c:pt>
                <c:pt idx="42">
                  <c:v>136.57845948243136</c:v>
                </c:pt>
                <c:pt idx="43">
                  <c:v>136.57941148167083</c:v>
                </c:pt>
                <c:pt idx="44">
                  <c:v>136.57893480991618</c:v>
                </c:pt>
                <c:pt idx="45">
                  <c:v>136.57893525800614</c:v>
                </c:pt>
                <c:pt idx="46">
                  <c:v>136.57909384986442</c:v>
                </c:pt>
                <c:pt idx="47">
                  <c:v>136.5789879725956</c:v>
                </c:pt>
                <c:pt idx="48">
                  <c:v>136.57900569348868</c:v>
                </c:pt>
                <c:pt idx="49">
                  <c:v>136.57902917198288</c:v>
                </c:pt>
                <c:pt idx="50">
                  <c:v>136.57900761268905</c:v>
                </c:pt>
                <c:pt idx="51">
                  <c:v>136.57901415938687</c:v>
                </c:pt>
                <c:pt idx="52">
                  <c:v>136.57901698135294</c:v>
                </c:pt>
                <c:pt idx="53">
                  <c:v>136.57901291780962</c:v>
                </c:pt>
                <c:pt idx="54">
                  <c:v>136.57901468618314</c:v>
                </c:pt>
                <c:pt idx="55">
                  <c:v>136.5790148617819</c:v>
                </c:pt>
                <c:pt idx="56">
                  <c:v>136.57901415525822</c:v>
                </c:pt>
                <c:pt idx="57">
                  <c:v>136.57901456774113</c:v>
                </c:pt>
                <c:pt idx="58">
                  <c:v>136.57901452826042</c:v>
                </c:pt>
                <c:pt idx="59">
                  <c:v>136.57901441708657</c:v>
                </c:pt>
                <c:pt idx="60">
                  <c:v>136.5790145043627</c:v>
                </c:pt>
                <c:pt idx="61">
                  <c:v>136.57901448323656</c:v>
                </c:pt>
                <c:pt idx="62">
                  <c:v>136.57901446822859</c:v>
                </c:pt>
                <c:pt idx="63">
                  <c:v>136.57901448527593</c:v>
                </c:pt>
                <c:pt idx="64">
                  <c:v>136.57901447891368</c:v>
                </c:pt>
                <c:pt idx="65">
                  <c:v>136.57901447747275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09-4BE7-8B7F-5F9002EB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7211093749999984"/>
          <c:h val="0.86414004629629615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23A5D9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Data'!$H$62:$AV$62</c15:sqref>
                  </c15:fullRef>
                </c:ext>
              </c:extLst>
              <c:f>'Talnagögn | Numerical Data'!$H$62:$AP$62</c:f>
              <c:numCache>
                <c:formatCode>0</c:formatCode>
                <c:ptCount val="35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5-45F4-BECA-E3993FA9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19050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5-45F4-BECA-E3993FA94A87}"/>
            </c:ext>
          </c:extLst>
        </c:ser>
        <c:ser>
          <c:idx val="1"/>
          <c:order val="2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19050" cap="rnd">
              <a:solidFill>
                <a:srgbClr val="1E2D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5-45F4-BECA-E3993FA9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661419270833334"/>
          <c:y val="0.38644606481481475"/>
          <c:w val="0.17023476562500001"/>
          <c:h val="0.22719265427170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8450933924522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Data'!$H$62:$AV$62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F-4DA1-A9E4-9255BEDDB11A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Data'!$H$78:$BU$78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F-4DA1-A9E4-9255BEDDB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042466172310983"/>
          <c:y val="0.39854546647729139"/>
          <c:w val="0.25628570700507097"/>
          <c:h val="0.2176374494335147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7211093749999984"/>
          <c:h val="0.86414004629629615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23A5D9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Data'!$H$62:$AV$62</c15:sqref>
                  </c15:fullRef>
                </c:ext>
              </c:extLst>
              <c:f>'Talnagögn | Numerical Data'!$H$62:$AP$62</c:f>
              <c:numCache>
                <c:formatCode>0</c:formatCode>
                <c:ptCount val="35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A-4560-90D5-0F65DE3D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19050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A-4560-90D5-0F65DE3DF514}"/>
            </c:ext>
          </c:extLst>
        </c:ser>
        <c:ser>
          <c:idx val="1"/>
          <c:order val="2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19050" cap="rnd">
              <a:solidFill>
                <a:srgbClr val="1E2D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9A-4560-90D5-0F65DE3D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836992753623182"/>
          <c:y val="0.38350624999999994"/>
          <c:w val="0.17023476562500001"/>
          <c:h val="0.22719265427170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80276120097813"/>
          <c:y val="6.0961694880576837E-2"/>
          <c:w val="0.4528816615188706"/>
          <c:h val="0.86875506275370407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7-4F6E-B4E1-73B96076EC73}"/>
              </c:ext>
            </c:extLst>
          </c:dPt>
          <c:dPt>
            <c:idx val="1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C7-4F6E-B4E1-73B96076EC73}"/>
              </c:ext>
            </c:extLst>
          </c:dPt>
          <c:dPt>
            <c:idx val="2"/>
            <c:bubble3D val="0"/>
            <c:spPr>
              <a:solidFill>
                <a:srgbClr val="9D8E90"/>
              </a:solidFill>
              <a:ln w="19050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C7-4F6E-B4E1-73B96076EC73}"/>
              </c:ext>
            </c:extLst>
          </c:dPt>
          <c:dLbls>
            <c:dLbl>
              <c:idx val="0"/>
              <c:layout>
                <c:manualLayout>
                  <c:x val="0.21327391650759611"/>
                  <c:y val="-0.1993699000258625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F49B72-26EA-4EDC-B621-0F1D057D883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C55B38C-3B91-4CA6-BDC9-F6FF2939BA8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80ACE5-77C6-455D-A37D-58DDA22FA66C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2361016339197"/>
                      <c:h val="0.2568910569493678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1C7-4F6E-B4E1-73B96076EC73}"/>
                </c:ext>
              </c:extLst>
            </c:dLbl>
            <c:dLbl>
              <c:idx val="1"/>
              <c:layout>
                <c:manualLayout>
                  <c:x val="0.20485835233964594"/>
                  <c:y val="0.20819321057709947"/>
                </c:manualLayout>
              </c:layout>
              <c:tx>
                <c:rich>
                  <a:bodyPr/>
                  <a:lstStyle/>
                  <a:p>
                    <a:fld id="{61B1FE87-716C-4A66-931F-C2DC5B43CB1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2F314BA-037F-437F-8AE6-F859194038A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99FCF14-3945-492C-A338-A5C97D7AF90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57396220859584"/>
                      <c:h val="0.233785404763999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1C7-4F6E-B4E1-73B96076EC73}"/>
                </c:ext>
              </c:extLst>
            </c:dLbl>
            <c:dLbl>
              <c:idx val="2"/>
              <c:layout>
                <c:manualLayout>
                  <c:x val="-0.20880262801762653"/>
                  <c:y val="-0.2247019528308697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1345CA-6143-4E05-BA8F-E8134D716A3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CB824B63-D9AF-4B3C-B736-145BC946D35D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A756EEDD-F1B9-4549-B5B2-5D65F9077762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27942367397534"/>
                      <c:h val="0.26029433490167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1C7-4F6E-B4E1-73B96076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Obligations'!$AH$374:$AH$376</c:f>
              <c:strCache>
                <c:ptCount val="3"/>
                <c:pt idx="0">
                  <c:v>Fuel Combustion, Stationary Industry</c:v>
                </c:pt>
                <c:pt idx="1">
                  <c:v>Ferrosilicon and Silicon Metal Production</c:v>
                </c:pt>
                <c:pt idx="2">
                  <c:v>Aluminium Production</c:v>
                </c:pt>
              </c:strCache>
            </c:strRef>
          </c:cat>
          <c:val>
            <c:numRef>
              <c:f>'Skuldbindingar | Obligations'!$AI$374:$AI$376</c:f>
              <c:numCache>
                <c:formatCode>0</c:formatCode>
                <c:ptCount val="3"/>
                <c:pt idx="0" formatCode="0.0">
                  <c:v>6.230714396192325</c:v>
                </c:pt>
                <c:pt idx="1">
                  <c:v>522.51012450550002</c:v>
                </c:pt>
                <c:pt idx="2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7-4F6E-B4E1-73B960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6.173611111111111E-2"/>
          <c:w val="0.63750454090859732"/>
          <c:h val="0.851489814814814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Data'!$H$50:$AV$50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C-4D40-A79E-31A2107012FE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Data'!$H$49:$AV$49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C-4D40-A79E-31A2107012FE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Data'!$H$60:$AV$60</c:f>
              <c:numCache>
                <c:formatCode>0</c:formatCode>
                <c:ptCount val="41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C-4D40-A79E-31A2107012FE}"/>
            </c:ext>
          </c:extLst>
        </c:ser>
        <c:ser>
          <c:idx val="2"/>
          <c:order val="3"/>
          <c:tx>
            <c:v>Önnur losun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Data'!$H$63:$AO$63</c:f>
              <c:numCache>
                <c:formatCode>0</c:formatCode>
                <c:ptCount val="34"/>
                <c:pt idx="0">
                  <c:v>487.84247404583988</c:v>
                </c:pt>
                <c:pt idx="1">
                  <c:v>397.54108448729539</c:v>
                </c:pt>
                <c:pt idx="2">
                  <c:v>450.03083199137416</c:v>
                </c:pt>
                <c:pt idx="3">
                  <c:v>482.53036931780383</c:v>
                </c:pt>
                <c:pt idx="4">
                  <c:v>455.47319300252616</c:v>
                </c:pt>
                <c:pt idx="5">
                  <c:v>495.37999222203285</c:v>
                </c:pt>
                <c:pt idx="6">
                  <c:v>550.89964723441426</c:v>
                </c:pt>
                <c:pt idx="7">
                  <c:v>587.29588027603518</c:v>
                </c:pt>
                <c:pt idx="8">
                  <c:v>569.9619115112414</c:v>
                </c:pt>
                <c:pt idx="9">
                  <c:v>589.92683999183339</c:v>
                </c:pt>
                <c:pt idx="10">
                  <c:v>523.75542384347955</c:v>
                </c:pt>
                <c:pt idx="11">
                  <c:v>571.27629644169178</c:v>
                </c:pt>
                <c:pt idx="12">
                  <c:v>570.71568384941202</c:v>
                </c:pt>
                <c:pt idx="13">
                  <c:v>524.82314480932143</c:v>
                </c:pt>
                <c:pt idx="14">
                  <c:v>578.79682358846981</c:v>
                </c:pt>
                <c:pt idx="15">
                  <c:v>521.8076021982431</c:v>
                </c:pt>
                <c:pt idx="16">
                  <c:v>532.71064669796044</c:v>
                </c:pt>
                <c:pt idx="17">
                  <c:v>529.08460475015636</c:v>
                </c:pt>
                <c:pt idx="18">
                  <c:v>478.27684277400903</c:v>
                </c:pt>
                <c:pt idx="19">
                  <c:v>339.66562888503029</c:v>
                </c:pt>
                <c:pt idx="20">
                  <c:v>290.97294786993359</c:v>
                </c:pt>
                <c:pt idx="21">
                  <c:v>268.39175021510448</c:v>
                </c:pt>
                <c:pt idx="22">
                  <c:v>238.78310895781118</c:v>
                </c:pt>
                <c:pt idx="23">
                  <c:v>223.73119854552414</c:v>
                </c:pt>
                <c:pt idx="24">
                  <c:v>211.06205032997616</c:v>
                </c:pt>
                <c:pt idx="25">
                  <c:v>238.20490920939281</c:v>
                </c:pt>
                <c:pt idx="26">
                  <c:v>256.20259389796888</c:v>
                </c:pt>
                <c:pt idx="27">
                  <c:v>238.9914615555449</c:v>
                </c:pt>
                <c:pt idx="28">
                  <c:v>227.93849551468577</c:v>
                </c:pt>
                <c:pt idx="29">
                  <c:v>212.31756996310648</c:v>
                </c:pt>
                <c:pt idx="30">
                  <c:v>145.33950435111626</c:v>
                </c:pt>
                <c:pt idx="31">
                  <c:v>155.36577057737315</c:v>
                </c:pt>
                <c:pt idx="32">
                  <c:v>222.39121979177997</c:v>
                </c:pt>
                <c:pt idx="33">
                  <c:v>191.18077811873465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C-4D40-A79E-31A2107012FE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1C-4D40-A79E-31A2107012FE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Data'!$H$66:$BU$66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C-4D40-A79E-31A2107012FE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Data'!$H$79:$BU$79</c:f>
              <c:numCache>
                <c:formatCode>0</c:formatCode>
                <c:ptCount val="66"/>
                <c:pt idx="33">
                  <c:v>191.18077811873465</c:v>
                </c:pt>
                <c:pt idx="34">
                  <c:v>217.34480085199726</c:v>
                </c:pt>
                <c:pt idx="35">
                  <c:v>196.03403827849752</c:v>
                </c:pt>
                <c:pt idx="36">
                  <c:v>193.18209136518865</c:v>
                </c:pt>
                <c:pt idx="37">
                  <c:v>190.87600509692686</c:v>
                </c:pt>
                <c:pt idx="38">
                  <c:v>189.51578447362098</c:v>
                </c:pt>
                <c:pt idx="39">
                  <c:v>187.35163947759236</c:v>
                </c:pt>
                <c:pt idx="40">
                  <c:v>183.35381502857922</c:v>
                </c:pt>
                <c:pt idx="41">
                  <c:v>181.19924003834194</c:v>
                </c:pt>
                <c:pt idx="42">
                  <c:v>177.5539997024801</c:v>
                </c:pt>
                <c:pt idx="43">
                  <c:v>177.36909408292786</c:v>
                </c:pt>
                <c:pt idx="44">
                  <c:v>176.7539375082971</c:v>
                </c:pt>
                <c:pt idx="45">
                  <c:v>171.14091477904299</c:v>
                </c:pt>
                <c:pt idx="46">
                  <c:v>169.50421335316173</c:v>
                </c:pt>
                <c:pt idx="47">
                  <c:v>167.33039646355832</c:v>
                </c:pt>
                <c:pt idx="48">
                  <c:v>164.64173769629213</c:v>
                </c:pt>
                <c:pt idx="49">
                  <c:v>161.25218911487895</c:v>
                </c:pt>
                <c:pt idx="50">
                  <c:v>157.3065163948105</c:v>
                </c:pt>
                <c:pt idx="51">
                  <c:v>152.65097228117656</c:v>
                </c:pt>
                <c:pt idx="52">
                  <c:v>147.72116236821171</c:v>
                </c:pt>
                <c:pt idx="53">
                  <c:v>142.61238905124236</c:v>
                </c:pt>
                <c:pt idx="54">
                  <c:v>137.32379130507235</c:v>
                </c:pt>
                <c:pt idx="55">
                  <c:v>131.84181149851378</c:v>
                </c:pt>
                <c:pt idx="56">
                  <c:v>126.1021760727229</c:v>
                </c:pt>
                <c:pt idx="57">
                  <c:v>120.07595462679632</c:v>
                </c:pt>
                <c:pt idx="58">
                  <c:v>113.71958145140508</c:v>
                </c:pt>
                <c:pt idx="59">
                  <c:v>107.01817089608954</c:v>
                </c:pt>
                <c:pt idx="60">
                  <c:v>99.847282903207599</c:v>
                </c:pt>
                <c:pt idx="61">
                  <c:v>94.215186082677548</c:v>
                </c:pt>
                <c:pt idx="62">
                  <c:v>87.370894578404403</c:v>
                </c:pt>
                <c:pt idx="63">
                  <c:v>80.612169619713598</c:v>
                </c:pt>
                <c:pt idx="64">
                  <c:v>74.040646921914146</c:v>
                </c:pt>
                <c:pt idx="65">
                  <c:v>67.727694695065253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1C-4D40-A79E-31A2107012FE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Data'!$H$76:$BU$76</c:f>
              <c:numCache>
                <c:formatCode>0</c:formatCode>
                <c:ptCount val="66"/>
                <c:pt idx="34">
                  <c:v>223.69103641446083</c:v>
                </c:pt>
                <c:pt idx="35">
                  <c:v>161.90923786466362</c:v>
                </c:pt>
                <c:pt idx="36">
                  <c:v>149.35848944804636</c:v>
                </c:pt>
                <c:pt idx="37">
                  <c:v>149.38516559080051</c:v>
                </c:pt>
                <c:pt idx="38">
                  <c:v>149.37895541529147</c:v>
                </c:pt>
                <c:pt idx="39">
                  <c:v>149.37420348471278</c:v>
                </c:pt>
                <c:pt idx="40">
                  <c:v>136.58084149693491</c:v>
                </c:pt>
                <c:pt idx="41">
                  <c:v>136.5789334656464</c:v>
                </c:pt>
                <c:pt idx="42">
                  <c:v>136.57845948243136</c:v>
                </c:pt>
                <c:pt idx="43">
                  <c:v>136.57941148167083</c:v>
                </c:pt>
                <c:pt idx="44">
                  <c:v>136.57893480991618</c:v>
                </c:pt>
                <c:pt idx="45">
                  <c:v>136.57893525800614</c:v>
                </c:pt>
                <c:pt idx="46">
                  <c:v>136.57909384986442</c:v>
                </c:pt>
                <c:pt idx="47">
                  <c:v>136.5789879725956</c:v>
                </c:pt>
                <c:pt idx="48">
                  <c:v>136.57900569348868</c:v>
                </c:pt>
                <c:pt idx="49">
                  <c:v>136.57902917198288</c:v>
                </c:pt>
                <c:pt idx="50">
                  <c:v>136.57900761268905</c:v>
                </c:pt>
                <c:pt idx="51">
                  <c:v>136.57901415938687</c:v>
                </c:pt>
                <c:pt idx="52">
                  <c:v>136.57901698135294</c:v>
                </c:pt>
                <c:pt idx="53">
                  <c:v>136.57901291780962</c:v>
                </c:pt>
                <c:pt idx="54">
                  <c:v>136.57901468618314</c:v>
                </c:pt>
                <c:pt idx="55">
                  <c:v>136.5790148617819</c:v>
                </c:pt>
                <c:pt idx="56">
                  <c:v>136.57901415525822</c:v>
                </c:pt>
                <c:pt idx="57">
                  <c:v>136.57901456774113</c:v>
                </c:pt>
                <c:pt idx="58">
                  <c:v>136.57901452826042</c:v>
                </c:pt>
                <c:pt idx="59">
                  <c:v>136.57901441708657</c:v>
                </c:pt>
                <c:pt idx="60">
                  <c:v>136.5790145043627</c:v>
                </c:pt>
                <c:pt idx="61">
                  <c:v>136.57901448323656</c:v>
                </c:pt>
                <c:pt idx="62">
                  <c:v>136.57901446822859</c:v>
                </c:pt>
                <c:pt idx="63">
                  <c:v>136.57901448527593</c:v>
                </c:pt>
                <c:pt idx="64">
                  <c:v>136.57901447891368</c:v>
                </c:pt>
                <c:pt idx="65">
                  <c:v>136.57901447747275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1C-4D40-A79E-31A210701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58703135587280075"/>
          <c:h val="0.86707986111111113"/>
        </c:manualLayout>
      </c:layout>
      <c:areaChart>
        <c:grouping val="stacked"/>
        <c:varyColors val="0"/>
        <c:ser>
          <c:idx val="8"/>
          <c:order val="2"/>
          <c:tx>
            <c:v>Heildarlosun</c:v>
          </c:tx>
          <c:spPr>
            <a:solidFill>
              <a:srgbClr val="FFD44B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Data'!$H$93:$AV$93</c15:sqref>
                  </c15:fullRef>
                </c:ext>
              </c:extLst>
              <c:f>'Talnagögn | Numerical Data'!$H$93:$AP$93</c:f>
              <c:numCache>
                <c:formatCode>0</c:formatCode>
                <c:ptCount val="35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4-47DA-84F3-58D411929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19050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4-47DA-84F3-58D411929075}"/>
            </c:ext>
          </c:extLst>
        </c:ser>
        <c:ser>
          <c:idx val="1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19050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4-47DA-84F3-58D411929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213478260869568"/>
          <c:y val="0.38640347222222221"/>
          <c:w val="0.2428882850241546"/>
          <c:h val="0.22139829880155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Data'!$H$84:$AV$84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8-4A79-96C3-E9EF3028B2DF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Data'!$H$85:$AV$85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8-4A79-96C3-E9EF3028B2DF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Data'!$H$86:$AV$86</c:f>
              <c:numCache>
                <c:formatCode>0.0</c:formatCode>
                <c:ptCount val="41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8-4A79-96C3-E9EF3028B2DF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8-4A79-96C3-E9EF3028B2DF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Data'!$H$96:$BU$96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A8-4A79-96C3-E9EF3028B2DF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Data'!$H$97:$BU$97</c:f>
              <c:numCache>
                <c:formatCode>0</c:formatCode>
                <c:ptCount val="66"/>
                <c:pt idx="34">
                  <c:v>527.31915978550001</c:v>
                </c:pt>
                <c:pt idx="35">
                  <c:v>401.70042445710789</c:v>
                </c:pt>
                <c:pt idx="36">
                  <c:v>508.18929433327838</c:v>
                </c:pt>
                <c:pt idx="37">
                  <c:v>503.18929433327838</c:v>
                </c:pt>
                <c:pt idx="38">
                  <c:v>498.18929433327838</c:v>
                </c:pt>
                <c:pt idx="39">
                  <c:v>498.18929433327838</c:v>
                </c:pt>
                <c:pt idx="40">
                  <c:v>498.18929433327838</c:v>
                </c:pt>
                <c:pt idx="41">
                  <c:v>498.18929433327838</c:v>
                </c:pt>
                <c:pt idx="42">
                  <c:v>498.18929433327838</c:v>
                </c:pt>
                <c:pt idx="43">
                  <c:v>498.18929433327838</c:v>
                </c:pt>
                <c:pt idx="44">
                  <c:v>498.18929433327838</c:v>
                </c:pt>
                <c:pt idx="45">
                  <c:v>498.18929433327838</c:v>
                </c:pt>
                <c:pt idx="46">
                  <c:v>498.18929433327838</c:v>
                </c:pt>
                <c:pt idx="47">
                  <c:v>498.18929433327838</c:v>
                </c:pt>
                <c:pt idx="48">
                  <c:v>498.18929433327838</c:v>
                </c:pt>
                <c:pt idx="49">
                  <c:v>498.18929433327838</c:v>
                </c:pt>
                <c:pt idx="50">
                  <c:v>498.18929433327838</c:v>
                </c:pt>
                <c:pt idx="51">
                  <c:v>498.18929433327838</c:v>
                </c:pt>
                <c:pt idx="52">
                  <c:v>498.18929433327838</c:v>
                </c:pt>
                <c:pt idx="53">
                  <c:v>498.18929433327838</c:v>
                </c:pt>
                <c:pt idx="54">
                  <c:v>498.18929433327838</c:v>
                </c:pt>
                <c:pt idx="55">
                  <c:v>498.18929433327838</c:v>
                </c:pt>
                <c:pt idx="56">
                  <c:v>498.18929433327838</c:v>
                </c:pt>
                <c:pt idx="57">
                  <c:v>498.18929433327838</c:v>
                </c:pt>
                <c:pt idx="58">
                  <c:v>498.18929433327838</c:v>
                </c:pt>
                <c:pt idx="59">
                  <c:v>498.18929433327838</c:v>
                </c:pt>
                <c:pt idx="60">
                  <c:v>498.18929433327838</c:v>
                </c:pt>
                <c:pt idx="61">
                  <c:v>498.18929433327838</c:v>
                </c:pt>
                <c:pt idx="62">
                  <c:v>498.18929433327838</c:v>
                </c:pt>
                <c:pt idx="63">
                  <c:v>498.18929433327838</c:v>
                </c:pt>
                <c:pt idx="64">
                  <c:v>498.18929433327838</c:v>
                </c:pt>
                <c:pt idx="65">
                  <c:v>498.18929433327838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A8-4A79-96C3-E9EF3028B2DF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4">
                  <c:v>107.78462088442339</c:v>
                </c:pt>
                <c:pt idx="35">
                  <c:v>105.72187170220855</c:v>
                </c:pt>
                <c:pt idx="36">
                  <c:v>83.823690084904044</c:v>
                </c:pt>
                <c:pt idx="37">
                  <c:v>89.442091059791849</c:v>
                </c:pt>
                <c:pt idx="38">
                  <c:v>43.518935760946661</c:v>
                </c:pt>
                <c:pt idx="39">
                  <c:v>28.783740596521415</c:v>
                </c:pt>
                <c:pt idx="40">
                  <c:v>35.288143061420499</c:v>
                </c:pt>
                <c:pt idx="41">
                  <c:v>17.53591620382366</c:v>
                </c:pt>
                <c:pt idx="42">
                  <c:v>18.352437165829741</c:v>
                </c:pt>
                <c:pt idx="43">
                  <c:v>25.087127810230314</c:v>
                </c:pt>
                <c:pt idx="44">
                  <c:v>14.704833954835724</c:v>
                </c:pt>
                <c:pt idx="45">
                  <c:v>9.3934027406685683</c:v>
                </c:pt>
                <c:pt idx="46">
                  <c:v>9.9895174804926654</c:v>
                </c:pt>
                <c:pt idx="47">
                  <c:v>10.358330959147878</c:v>
                </c:pt>
                <c:pt idx="48">
                  <c:v>10.25895007901676</c:v>
                </c:pt>
                <c:pt idx="49">
                  <c:v>10.660310913905738</c:v>
                </c:pt>
                <c:pt idx="50">
                  <c:v>10.993776002891989</c:v>
                </c:pt>
                <c:pt idx="51">
                  <c:v>11.563570640339021</c:v>
                </c:pt>
                <c:pt idx="52">
                  <c:v>11.640349097474523</c:v>
                </c:pt>
                <c:pt idx="53">
                  <c:v>11.70012970754571</c:v>
                </c:pt>
                <c:pt idx="54">
                  <c:v>11.753187736759976</c:v>
                </c:pt>
                <c:pt idx="55">
                  <c:v>11.800243616819975</c:v>
                </c:pt>
                <c:pt idx="56">
                  <c:v>11.940971953978671</c:v>
                </c:pt>
                <c:pt idx="57">
                  <c:v>12.240845835968981</c:v>
                </c:pt>
                <c:pt idx="58">
                  <c:v>11.986792162915226</c:v>
                </c:pt>
                <c:pt idx="59">
                  <c:v>11.867739498494641</c:v>
                </c:pt>
                <c:pt idx="60">
                  <c:v>11.859076026944861</c:v>
                </c:pt>
                <c:pt idx="61">
                  <c:v>11.689526803657612</c:v>
                </c:pt>
                <c:pt idx="62">
                  <c:v>11.544615909658173</c:v>
                </c:pt>
                <c:pt idx="63">
                  <c:v>11.444189380191771</c:v>
                </c:pt>
                <c:pt idx="64">
                  <c:v>11.399306843005277</c:v>
                </c:pt>
                <c:pt idx="65">
                  <c:v>11.395571652176223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A8-4A79-96C3-E9EF3028B2DF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Data'!$H$99:$BU$99</c:f>
              <c:numCache>
                <c:formatCode>0</c:formatCode>
                <c:ptCount val="66"/>
                <c:pt idx="34">
                  <c:v>11.079378686252676</c:v>
                </c:pt>
                <c:pt idx="35">
                  <c:v>11.151435375399261</c:v>
                </c:pt>
                <c:pt idx="36">
                  <c:v>11.132113040844736</c:v>
                </c:pt>
                <c:pt idx="37">
                  <c:v>11.115856720430433</c:v>
                </c:pt>
                <c:pt idx="38">
                  <c:v>11.090891667931968</c:v>
                </c:pt>
                <c:pt idx="39">
                  <c:v>11.05763032738297</c:v>
                </c:pt>
                <c:pt idx="40">
                  <c:v>11.015410927687761</c:v>
                </c:pt>
                <c:pt idx="41">
                  <c:v>10.960130769641854</c:v>
                </c:pt>
                <c:pt idx="42">
                  <c:v>10.89865816065265</c:v>
                </c:pt>
                <c:pt idx="43">
                  <c:v>10.830797985426774</c:v>
                </c:pt>
                <c:pt idx="44">
                  <c:v>10.757340349625236</c:v>
                </c:pt>
                <c:pt idx="45">
                  <c:v>10.665646430656345</c:v>
                </c:pt>
                <c:pt idx="46">
                  <c:v>10.572461568295374</c:v>
                </c:pt>
                <c:pt idx="47">
                  <c:v>10.478660578269007</c:v>
                </c:pt>
                <c:pt idx="48">
                  <c:v>10.386920593587476</c:v>
                </c:pt>
                <c:pt idx="49">
                  <c:v>10.327991876246827</c:v>
                </c:pt>
                <c:pt idx="50">
                  <c:v>10.321635464971481</c:v>
                </c:pt>
                <c:pt idx="51">
                  <c:v>10.315472452873014</c:v>
                </c:pt>
                <c:pt idx="52">
                  <c:v>10.309525290197037</c:v>
                </c:pt>
                <c:pt idx="53">
                  <c:v>10.303756816629605</c:v>
                </c:pt>
                <c:pt idx="54">
                  <c:v>10.298177247897286</c:v>
                </c:pt>
                <c:pt idx="55">
                  <c:v>10.292793377650607</c:v>
                </c:pt>
                <c:pt idx="56">
                  <c:v>10.28762478388256</c:v>
                </c:pt>
                <c:pt idx="57">
                  <c:v>10.282680048852047</c:v>
                </c:pt>
                <c:pt idx="58">
                  <c:v>10.277939463371746</c:v>
                </c:pt>
                <c:pt idx="59">
                  <c:v>10.27339608990733</c:v>
                </c:pt>
                <c:pt idx="60">
                  <c:v>10.269077372831505</c:v>
                </c:pt>
                <c:pt idx="61">
                  <c:v>10.264983533504285</c:v>
                </c:pt>
                <c:pt idx="62">
                  <c:v>10.261122149295195</c:v>
                </c:pt>
                <c:pt idx="63">
                  <c:v>10.257491938969174</c:v>
                </c:pt>
                <c:pt idx="64">
                  <c:v>10.254093566103901</c:v>
                </c:pt>
                <c:pt idx="65">
                  <c:v>7.8520707599451089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A8-4A79-96C3-E9EF3028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58703135587280075"/>
          <c:h val="0.84650123456790127"/>
        </c:manualLayout>
      </c:layout>
      <c:areaChart>
        <c:grouping val="stacked"/>
        <c:varyColors val="0"/>
        <c:ser>
          <c:idx val="8"/>
          <c:order val="2"/>
          <c:tx>
            <c:v>Total Emissions</c:v>
          </c:tx>
          <c:spPr>
            <a:solidFill>
              <a:srgbClr val="FFD44B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Data'!$H$93:$AV$93</c15:sqref>
                  </c15:fullRef>
                </c:ext>
              </c:extLst>
              <c:f>'Talnagögn | Numerical Data'!$H$93:$AP$93</c:f>
              <c:numCache>
                <c:formatCode>0</c:formatCode>
                <c:ptCount val="35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6-424E-B846-E801624C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19050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6-424E-B846-E801624C37BD}"/>
            </c:ext>
          </c:extLst>
        </c:ser>
        <c:ser>
          <c:idx val="1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19050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6-424E-B846-E801624C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93542922290243"/>
          <c:y val="0.38640341882135709"/>
          <c:w val="0.25311542785031688"/>
          <c:h val="0.22139829880155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Data'!$H$84:$AV$84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4-4435-BFDE-A678FF53277C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Data'!$H$85:$AV$85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4-4435-BFDE-A678FF53277C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Data'!$H$86:$AV$86</c:f>
              <c:numCache>
                <c:formatCode>0.0</c:formatCode>
                <c:ptCount val="41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4-4435-BFDE-A678FF53277C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4-4435-BFDE-A678FF53277C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Data'!$H$96:$BU$96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F4-4435-BFDE-A678FF53277C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Data'!$H$97:$BU$97</c:f>
              <c:numCache>
                <c:formatCode>0</c:formatCode>
                <c:ptCount val="66"/>
                <c:pt idx="34">
                  <c:v>527.31915978550001</c:v>
                </c:pt>
                <c:pt idx="35">
                  <c:v>401.70042445710789</c:v>
                </c:pt>
                <c:pt idx="36">
                  <c:v>508.18929433327838</c:v>
                </c:pt>
                <c:pt idx="37">
                  <c:v>503.18929433327838</c:v>
                </c:pt>
                <c:pt idx="38">
                  <c:v>498.18929433327838</c:v>
                </c:pt>
                <c:pt idx="39">
                  <c:v>498.18929433327838</c:v>
                </c:pt>
                <c:pt idx="40">
                  <c:v>498.18929433327838</c:v>
                </c:pt>
                <c:pt idx="41">
                  <c:v>498.18929433327838</c:v>
                </c:pt>
                <c:pt idx="42">
                  <c:v>498.18929433327838</c:v>
                </c:pt>
                <c:pt idx="43">
                  <c:v>498.18929433327838</c:v>
                </c:pt>
                <c:pt idx="44">
                  <c:v>498.18929433327838</c:v>
                </c:pt>
                <c:pt idx="45">
                  <c:v>498.18929433327838</c:v>
                </c:pt>
                <c:pt idx="46">
                  <c:v>498.18929433327838</c:v>
                </c:pt>
                <c:pt idx="47">
                  <c:v>498.18929433327838</c:v>
                </c:pt>
                <c:pt idx="48">
                  <c:v>498.18929433327838</c:v>
                </c:pt>
                <c:pt idx="49">
                  <c:v>498.18929433327838</c:v>
                </c:pt>
                <c:pt idx="50">
                  <c:v>498.18929433327838</c:v>
                </c:pt>
                <c:pt idx="51">
                  <c:v>498.18929433327838</c:v>
                </c:pt>
                <c:pt idx="52">
                  <c:v>498.18929433327838</c:v>
                </c:pt>
                <c:pt idx="53">
                  <c:v>498.18929433327838</c:v>
                </c:pt>
                <c:pt idx="54">
                  <c:v>498.18929433327838</c:v>
                </c:pt>
                <c:pt idx="55">
                  <c:v>498.18929433327838</c:v>
                </c:pt>
                <c:pt idx="56">
                  <c:v>498.18929433327838</c:v>
                </c:pt>
                <c:pt idx="57">
                  <c:v>498.18929433327838</c:v>
                </c:pt>
                <c:pt idx="58">
                  <c:v>498.18929433327838</c:v>
                </c:pt>
                <c:pt idx="59">
                  <c:v>498.18929433327838</c:v>
                </c:pt>
                <c:pt idx="60">
                  <c:v>498.18929433327838</c:v>
                </c:pt>
                <c:pt idx="61">
                  <c:v>498.18929433327838</c:v>
                </c:pt>
                <c:pt idx="62">
                  <c:v>498.18929433327838</c:v>
                </c:pt>
                <c:pt idx="63">
                  <c:v>498.18929433327838</c:v>
                </c:pt>
                <c:pt idx="64">
                  <c:v>498.18929433327838</c:v>
                </c:pt>
                <c:pt idx="65">
                  <c:v>498.18929433327838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4-4435-BFDE-A678FF53277C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4">
                  <c:v>107.78462088442339</c:v>
                </c:pt>
                <c:pt idx="35">
                  <c:v>105.72187170220855</c:v>
                </c:pt>
                <c:pt idx="36">
                  <c:v>83.823690084904044</c:v>
                </c:pt>
                <c:pt idx="37">
                  <c:v>89.442091059791849</c:v>
                </c:pt>
                <c:pt idx="38">
                  <c:v>43.518935760946661</c:v>
                </c:pt>
                <c:pt idx="39">
                  <c:v>28.783740596521415</c:v>
                </c:pt>
                <c:pt idx="40">
                  <c:v>35.288143061420499</c:v>
                </c:pt>
                <c:pt idx="41">
                  <c:v>17.53591620382366</c:v>
                </c:pt>
                <c:pt idx="42">
                  <c:v>18.352437165829741</c:v>
                </c:pt>
                <c:pt idx="43">
                  <c:v>25.087127810230314</c:v>
                </c:pt>
                <c:pt idx="44">
                  <c:v>14.704833954835724</c:v>
                </c:pt>
                <c:pt idx="45">
                  <c:v>9.3934027406685683</c:v>
                </c:pt>
                <c:pt idx="46">
                  <c:v>9.9895174804926654</c:v>
                </c:pt>
                <c:pt idx="47">
                  <c:v>10.358330959147878</c:v>
                </c:pt>
                <c:pt idx="48">
                  <c:v>10.25895007901676</c:v>
                </c:pt>
                <c:pt idx="49">
                  <c:v>10.660310913905738</c:v>
                </c:pt>
                <c:pt idx="50">
                  <c:v>10.993776002891989</c:v>
                </c:pt>
                <c:pt idx="51">
                  <c:v>11.563570640339021</c:v>
                </c:pt>
                <c:pt idx="52">
                  <c:v>11.640349097474523</c:v>
                </c:pt>
                <c:pt idx="53">
                  <c:v>11.70012970754571</c:v>
                </c:pt>
                <c:pt idx="54">
                  <c:v>11.753187736759976</c:v>
                </c:pt>
                <c:pt idx="55">
                  <c:v>11.800243616819975</c:v>
                </c:pt>
                <c:pt idx="56">
                  <c:v>11.940971953978671</c:v>
                </c:pt>
                <c:pt idx="57">
                  <c:v>12.240845835968981</c:v>
                </c:pt>
                <c:pt idx="58">
                  <c:v>11.986792162915226</c:v>
                </c:pt>
                <c:pt idx="59">
                  <c:v>11.867739498494641</c:v>
                </c:pt>
                <c:pt idx="60">
                  <c:v>11.859076026944861</c:v>
                </c:pt>
                <c:pt idx="61">
                  <c:v>11.689526803657612</c:v>
                </c:pt>
                <c:pt idx="62">
                  <c:v>11.544615909658173</c:v>
                </c:pt>
                <c:pt idx="63">
                  <c:v>11.444189380191771</c:v>
                </c:pt>
                <c:pt idx="64">
                  <c:v>11.399306843005277</c:v>
                </c:pt>
                <c:pt idx="65">
                  <c:v>11.395571652176223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F4-4435-BFDE-A678FF53277C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Data'!$H$99:$BU$99</c:f>
              <c:numCache>
                <c:formatCode>0</c:formatCode>
                <c:ptCount val="66"/>
                <c:pt idx="34">
                  <c:v>11.079378686252676</c:v>
                </c:pt>
                <c:pt idx="35">
                  <c:v>11.151435375399261</c:v>
                </c:pt>
                <c:pt idx="36">
                  <c:v>11.132113040844736</c:v>
                </c:pt>
                <c:pt idx="37">
                  <c:v>11.115856720430433</c:v>
                </c:pt>
                <c:pt idx="38">
                  <c:v>11.090891667931968</c:v>
                </c:pt>
                <c:pt idx="39">
                  <c:v>11.05763032738297</c:v>
                </c:pt>
                <c:pt idx="40">
                  <c:v>11.015410927687761</c:v>
                </c:pt>
                <c:pt idx="41">
                  <c:v>10.960130769641854</c:v>
                </c:pt>
                <c:pt idx="42">
                  <c:v>10.89865816065265</c:v>
                </c:pt>
                <c:pt idx="43">
                  <c:v>10.830797985426774</c:v>
                </c:pt>
                <c:pt idx="44">
                  <c:v>10.757340349625236</c:v>
                </c:pt>
                <c:pt idx="45">
                  <c:v>10.665646430656345</c:v>
                </c:pt>
                <c:pt idx="46">
                  <c:v>10.572461568295374</c:v>
                </c:pt>
                <c:pt idx="47">
                  <c:v>10.478660578269007</c:v>
                </c:pt>
                <c:pt idx="48">
                  <c:v>10.386920593587476</c:v>
                </c:pt>
                <c:pt idx="49">
                  <c:v>10.327991876246827</c:v>
                </c:pt>
                <c:pt idx="50">
                  <c:v>10.321635464971481</c:v>
                </c:pt>
                <c:pt idx="51">
                  <c:v>10.315472452873014</c:v>
                </c:pt>
                <c:pt idx="52">
                  <c:v>10.309525290197037</c:v>
                </c:pt>
                <c:pt idx="53">
                  <c:v>10.303756816629605</c:v>
                </c:pt>
                <c:pt idx="54">
                  <c:v>10.298177247897286</c:v>
                </c:pt>
                <c:pt idx="55">
                  <c:v>10.292793377650607</c:v>
                </c:pt>
                <c:pt idx="56">
                  <c:v>10.28762478388256</c:v>
                </c:pt>
                <c:pt idx="57">
                  <c:v>10.282680048852047</c:v>
                </c:pt>
                <c:pt idx="58">
                  <c:v>10.277939463371746</c:v>
                </c:pt>
                <c:pt idx="59">
                  <c:v>10.27339608990733</c:v>
                </c:pt>
                <c:pt idx="60">
                  <c:v>10.269077372831505</c:v>
                </c:pt>
                <c:pt idx="61">
                  <c:v>10.264983533504285</c:v>
                </c:pt>
                <c:pt idx="62">
                  <c:v>10.261122149295195</c:v>
                </c:pt>
                <c:pt idx="63">
                  <c:v>10.257491938969174</c:v>
                </c:pt>
                <c:pt idx="64">
                  <c:v>10.254093566103901</c:v>
                </c:pt>
                <c:pt idx="65">
                  <c:v>7.8520707599451089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F4-4435-BFDE-A678FF532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areaChart>
        <c:grouping val="stacked"/>
        <c:varyColors val="0"/>
        <c:ser>
          <c:idx val="4"/>
          <c:order val="5"/>
          <c:tx>
            <c:v>Heildarlosun</c:v>
          </c:tx>
          <c:spPr>
            <a:solidFill>
              <a:srgbClr val="68A200">
                <a:alpha val="20000"/>
              </a:srgbClr>
            </a:solidFill>
            <a:ln>
              <a:noFill/>
            </a:ln>
            <a:effectLst/>
          </c:spPr>
          <c:cat>
            <c:strLit>
              <c:ptCount val="3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  <c:pt idx="29">
                <c:v>2019</c:v>
              </c:pt>
              <c:pt idx="30">
                <c:v>2020</c:v>
              </c:pt>
              <c:pt idx="31">
                <c:v>2021</c:v>
              </c:pt>
              <c:pt idx="32">
                <c:v>2022</c:v>
              </c:pt>
              <c:pt idx="33">
                <c:v>2023</c:v>
              </c:pt>
              <c:pt idx="34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A-4C98-8615-D01E3F9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750560"/>
        <c:axId val="1137752720"/>
      </c:areaChart>
      <c:lineChart>
        <c:grouping val="standard"/>
        <c:varyColors val="0"/>
        <c:ser>
          <c:idx val="2"/>
          <c:order val="0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A-4C98-8615-D01E3F97DA5D}"/>
            </c:ext>
          </c:extLst>
        </c:ser>
        <c:ser>
          <c:idx val="1"/>
          <c:order val="1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A-4C98-8615-D01E3F97DA5D}"/>
            </c:ext>
          </c:extLst>
        </c:ser>
        <c:ser>
          <c:idx val="3"/>
          <c:order val="2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6A-4C98-8615-D01E3F97DA5D}"/>
            </c:ext>
          </c:extLst>
        </c:ser>
        <c:ser>
          <c:idx val="5"/>
          <c:order val="3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6A-4C98-8615-D01E3F97DA5D}"/>
            </c:ext>
          </c:extLst>
        </c:ser>
        <c:ser>
          <c:idx val="0"/>
          <c:order val="4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A-4C98-8615-D01E3F9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28857638888888887"/>
          <c:w val="0.15136195652173914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B-478B-AC78-15CEAAFFB87E}"/>
            </c:ext>
          </c:extLst>
        </c:ser>
        <c:ser>
          <c:idx val="1"/>
          <c:order val="1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B-478B-AC78-15CEAAFFB87E}"/>
            </c:ext>
          </c:extLst>
        </c:ser>
        <c:ser>
          <c:idx val="3"/>
          <c:order val="2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B-478B-AC78-15CEAAFFB87E}"/>
            </c:ext>
          </c:extLst>
        </c:ser>
        <c:ser>
          <c:idx val="5"/>
          <c:order val="3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2B-478B-AC78-15CEAAFFB87E}"/>
            </c:ext>
          </c:extLst>
        </c:ser>
        <c:ser>
          <c:idx val="0"/>
          <c:order val="4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2B-478B-AC78-15CEAAFFB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3681817439870206"/>
          <c:h val="0.33759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areaChart>
        <c:grouping val="stacked"/>
        <c:varyColors val="0"/>
        <c:ser>
          <c:idx val="4"/>
          <c:order val="5"/>
          <c:tx>
            <c:v>Total Emissions</c:v>
          </c:tx>
          <c:spPr>
            <a:solidFill>
              <a:srgbClr val="68A200">
                <a:alpha val="20000"/>
              </a:srgbClr>
            </a:solidFill>
            <a:ln>
              <a:noFill/>
            </a:ln>
            <a:effectLst/>
          </c:spPr>
          <c:cat>
            <c:strLit>
              <c:ptCount val="3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  <c:pt idx="29">
                <c:v>2019</c:v>
              </c:pt>
              <c:pt idx="30">
                <c:v>2020</c:v>
              </c:pt>
              <c:pt idx="31">
                <c:v>2021</c:v>
              </c:pt>
              <c:pt idx="32">
                <c:v>2022</c:v>
              </c:pt>
              <c:pt idx="33">
                <c:v>2023</c:v>
              </c:pt>
              <c:pt idx="34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0-4D4B-950D-A78A2429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750560"/>
        <c:axId val="1137752720"/>
      </c:areaChart>
      <c:lineChart>
        <c:grouping val="standard"/>
        <c:varyColors val="0"/>
        <c:ser>
          <c:idx val="2"/>
          <c:order val="0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0-4D4B-950D-A78A24296415}"/>
            </c:ext>
          </c:extLst>
        </c:ser>
        <c:ser>
          <c:idx val="1"/>
          <c:order val="1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0-4D4B-950D-A78A24296415}"/>
            </c:ext>
          </c:extLst>
        </c:ser>
        <c:ser>
          <c:idx val="3"/>
          <c:order val="2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70-4D4B-950D-A78A24296415}"/>
            </c:ext>
          </c:extLst>
        </c:ser>
        <c:ser>
          <c:idx val="5"/>
          <c:order val="3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70-4D4B-950D-A78A24296415}"/>
            </c:ext>
          </c:extLst>
        </c:ser>
        <c:ser>
          <c:idx val="0"/>
          <c:order val="4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70-4D4B-950D-A78A2429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28857638888888887"/>
          <c:w val="0.17538566542018258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F-45A4-8D52-7D8D8D4A3AC1}"/>
            </c:ext>
          </c:extLst>
        </c:ser>
        <c:ser>
          <c:idx val="1"/>
          <c:order val="1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F-45A4-8D52-7D8D8D4A3AC1}"/>
            </c:ext>
          </c:extLst>
        </c:ser>
        <c:ser>
          <c:idx val="3"/>
          <c:order val="2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F-45A4-8D52-7D8D8D4A3AC1}"/>
            </c:ext>
          </c:extLst>
        </c:ser>
        <c:ser>
          <c:idx val="5"/>
          <c:order val="3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F-45A4-8D52-7D8D8D4A3AC1}"/>
            </c:ext>
          </c:extLst>
        </c:ser>
        <c:ser>
          <c:idx val="0"/>
          <c:order val="4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AF-45A4-8D52-7D8D8D4A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9627638972348449"/>
          <c:h val="0.36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588968464369090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ED7D31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Data'!$H$204:$AV$204</c15:sqref>
                  </c15:fullRef>
                </c:ext>
              </c:extLst>
              <c:f>'Talnagögn | Numerical Data'!$H$204:$AP$204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'Talnagögn | Numerical Data'!$AV$204</c15:sqref>
                  <c15:spPr xmlns:c15="http://schemas.microsoft.com/office/drawing/2012/chart">
                    <a:solidFill>
                      <a:srgbClr val="ED7D31">
                        <a:alpha val="20000"/>
                      </a:srgbClr>
                    </a:solidFill>
                    <a:ln w="25400"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C4D7-4836-8AB5-BCD6562B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7-4836-8AB5-BCD6562BC6FB}"/>
            </c:ext>
          </c:extLst>
        </c:ser>
        <c:ser>
          <c:idx val="1"/>
          <c:order val="2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7-4836-8AB5-BCD6562B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85000"/>
                </a:srgb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9435365805404"/>
          <c:y val="0.38447130371715921"/>
          <c:w val="0.22010564634194596"/>
          <c:h val="0.23778529659978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08397960671762"/>
          <c:y val="5.1729873208737023E-2"/>
          <c:w val="0.51082005208333336"/>
          <c:h val="0.90812453703703699"/>
        </c:manualLayout>
      </c:layout>
      <c:doughnutChart>
        <c:varyColors val="1"/>
        <c:ser>
          <c:idx val="0"/>
          <c:order val="0"/>
          <c:spPr>
            <a:solidFill>
              <a:srgbClr val="9D8E90"/>
            </a:solidFill>
          </c:spPr>
          <c:dPt>
            <c:idx val="0"/>
            <c:bubble3D val="0"/>
            <c:spPr>
              <a:solidFill>
                <a:srgbClr val="9D8E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9-4259-9847-F8AB1391652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9-4259-9847-F8AB13916520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E9-4259-9847-F8AB13916520}"/>
              </c:ext>
            </c:extLst>
          </c:dPt>
          <c:dLbls>
            <c:dLbl>
              <c:idx val="0"/>
              <c:layout>
                <c:manualLayout>
                  <c:x val="0.22600947765348378"/>
                  <c:y val="-0.285228039570818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7790C9-9D81-431F-8F18-AD83AD1AF65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A2038E4-13BD-480C-985C-5703CD9F6F27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29902B3-1DF8-4030-B35C-B694492CBC85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397640906331501"/>
                      <c:h val="0.213155813160895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E9-4259-9847-F8AB13916520}"/>
                </c:ext>
              </c:extLst>
            </c:dLbl>
            <c:dLbl>
              <c:idx val="1"/>
              <c:layout>
                <c:manualLayout>
                  <c:x val="0.23683692883717292"/>
                  <c:y val="0.2186060131343022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DE3A2B-AC1D-4BB6-8FF3-8E619B76AEF7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2BFEB3F-7A8D-41BE-9A06-3DB0C2BE020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2EA0A6F-D057-436A-A26F-1668A077C4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2804434585654"/>
                      <c:h val="0.20069542146966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AE9-4259-9847-F8AB13916520}"/>
                </c:ext>
              </c:extLst>
            </c:dLbl>
            <c:dLbl>
              <c:idx val="2"/>
              <c:layout>
                <c:manualLayout>
                  <c:x val="-0.23988687276275555"/>
                  <c:y val="-0.2108626026358573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C5F6B16-EB34-4B7C-9686-514D4BA8B8A4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0CB30902-B58F-413B-9FE1-74EAFA58B241}" type="VALU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400EE611-91F9-4CE9-8909-8B4AEAEFB16B}" type="PERCENTAG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839107602519944"/>
                      <c:h val="0.2093054231299320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AE9-4259-9847-F8AB13916520}"/>
                </c:ext>
              </c:extLst>
            </c:dLbl>
            <c:numFmt formatCode="0.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Obligations'!$E$374:$E$376</c:f>
              <c:strCache>
                <c:ptCount val="3"/>
                <c:pt idx="0">
                  <c:v>Eldsneytisbruni, staðbundinn iðnaður</c:v>
                </c:pt>
                <c:pt idx="1">
                  <c:v>Kísil- og kísilmálmframleiðsla</c:v>
                </c:pt>
                <c:pt idx="2">
                  <c:v>Álframleiðsla</c:v>
                </c:pt>
              </c:strCache>
            </c:strRef>
          </c:cat>
          <c:val>
            <c:numRef>
              <c:f>'Skuldbindingar | Obligations'!$F$374:$F$376</c:f>
              <c:numCache>
                <c:formatCode>0</c:formatCode>
                <c:ptCount val="3"/>
                <c:pt idx="0" formatCode="0.0">
                  <c:v>6.230714396192325</c:v>
                </c:pt>
                <c:pt idx="1">
                  <c:v>522.51012450550002</c:v>
                </c:pt>
                <c:pt idx="2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9-4259-9847-F8AB1391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64292409193102062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6-4D20-9C5A-AFA81CC3AA2C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6-4D20-9C5A-AFA81CC3AA2C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6-4D20-9C5A-AFA81CC3AA2C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76-4D20-9C5A-AFA81CC3A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69570742332092"/>
          <c:y val="0.34908796296296291"/>
          <c:w val="0.21924167680358603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588968464369090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ED7D31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Data'!$H$204:$AV$204</c15:sqref>
                  </c15:fullRef>
                </c:ext>
              </c:extLst>
              <c:f>'Talnagögn | Numerical Data'!$H$204:$AP$204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'Talnagögn | Numerical Data'!$AV$204</c15:sqref>
                  <c15:spPr xmlns:c15="http://schemas.microsoft.com/office/drawing/2012/chart">
                    <a:solidFill>
                      <a:srgbClr val="ED7D31">
                        <a:alpha val="20000"/>
                      </a:srgbClr>
                    </a:solidFill>
                    <a:ln w="25400"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0F84-408B-8CE5-B5132378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4-408B-8CE5-B5132378E5F5}"/>
            </c:ext>
          </c:extLst>
        </c:ser>
        <c:ser>
          <c:idx val="1"/>
          <c:order val="2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4-408B-8CE5-B5132378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85000"/>
                </a:srgb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9435365805404"/>
          <c:y val="0.38447130371715921"/>
          <c:w val="0.22010564634194596"/>
          <c:h val="0.23778529659978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57879938236619777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Data'!$H$200:$AV$200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B-4E47-90BC-9E174DB2AB90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Data'!$H$203:$AV$203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B-4E47-90BC-9E174DB2AB90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Data'!$H$202:$AV$202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B-4E47-90BC-9E174DB2AB90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1B-4E47-90BC-9E174DB2AB90}"/>
            </c:ext>
          </c:extLst>
        </c:ser>
        <c:ser>
          <c:idx val="7"/>
          <c:order val="4"/>
          <c:tx>
            <c:v>Urðun WEM</c:v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Data'!$H$207:$BU$207</c:f>
              <c:numCache>
                <c:formatCode>0</c:formatCode>
                <c:ptCount val="66"/>
                <c:pt idx="34">
                  <c:v>203.07062729519799</c:v>
                </c:pt>
                <c:pt idx="35">
                  <c:v>178.79107951336425</c:v>
                </c:pt>
                <c:pt idx="36">
                  <c:v>159.81300051699296</c:v>
                </c:pt>
                <c:pt idx="37">
                  <c:v>144.98238063804763</c:v>
                </c:pt>
                <c:pt idx="38">
                  <c:v>134.49042188831581</c:v>
                </c:pt>
                <c:pt idx="39">
                  <c:v>127.48817032659397</c:v>
                </c:pt>
                <c:pt idx="40">
                  <c:v>120.85159868610157</c:v>
                </c:pt>
                <c:pt idx="41">
                  <c:v>112.05789132782155</c:v>
                </c:pt>
                <c:pt idx="42">
                  <c:v>105.85914744231248</c:v>
                </c:pt>
                <c:pt idx="43">
                  <c:v>100.56944105960585</c:v>
                </c:pt>
                <c:pt idx="44">
                  <c:v>96.090677732388286</c:v>
                </c:pt>
                <c:pt idx="45">
                  <c:v>90.464564398576357</c:v>
                </c:pt>
                <c:pt idx="46">
                  <c:v>83.986919572186281</c:v>
                </c:pt>
                <c:pt idx="47">
                  <c:v>78.084648440059851</c:v>
                </c:pt>
                <c:pt idx="48">
                  <c:v>72.6975340762652</c:v>
                </c:pt>
                <c:pt idx="49">
                  <c:v>67.772534606892805</c:v>
                </c:pt>
                <c:pt idx="50">
                  <c:v>63.262842571706415</c:v>
                </c:pt>
                <c:pt idx="51">
                  <c:v>59.127076318197325</c:v>
                </c:pt>
                <c:pt idx="52">
                  <c:v>55.328583954464186</c:v>
                </c:pt>
                <c:pt idx="53">
                  <c:v>51.834843366728308</c:v>
                </c:pt>
                <c:pt idx="54">
                  <c:v>48.616944318220511</c:v>
                </c:pt>
                <c:pt idx="55">
                  <c:v>45.649140763806258</c:v>
                </c:pt>
                <c:pt idx="56">
                  <c:v>42.908463301973242</c:v>
                </c:pt>
                <c:pt idx="57">
                  <c:v>40.374383195392319</c:v>
                </c:pt>
                <c:pt idx="58">
                  <c:v>38.028520667329616</c:v>
                </c:pt>
                <c:pt idx="59">
                  <c:v>35.854391260746922</c:v>
                </c:pt>
                <c:pt idx="60">
                  <c:v>33.837184961017314</c:v>
                </c:pt>
                <c:pt idx="61">
                  <c:v>31.963573557845066</c:v>
                </c:pt>
                <c:pt idx="62">
                  <c:v>30.221542379074155</c:v>
                </c:pt>
                <c:pt idx="63">
                  <c:v>28.600243086960653</c:v>
                </c:pt>
                <c:pt idx="64">
                  <c:v>27.08986470160194</c:v>
                </c:pt>
                <c:pt idx="65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1B-4E47-90BC-9E174DB2AB90}"/>
            </c:ext>
          </c:extLst>
        </c:ser>
        <c:ser>
          <c:idx val="8"/>
          <c:order val="5"/>
          <c:tx>
            <c:v>Jarðgerð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Data'!$H$208:$BU$208</c:f>
              <c:numCache>
                <c:formatCode>0</c:formatCode>
                <c:ptCount val="66"/>
                <c:pt idx="34">
                  <c:v>6.6237543773473622</c:v>
                </c:pt>
                <c:pt idx="35" formatCode="0.0">
                  <c:v>5.5181043178769995</c:v>
                </c:pt>
                <c:pt idx="36" formatCode="0.0">
                  <c:v>5.5739152964701431</c:v>
                </c:pt>
                <c:pt idx="37" formatCode="0.0">
                  <c:v>5.7982492112897681</c:v>
                </c:pt>
                <c:pt idx="38" formatCode="0.0">
                  <c:v>6.0225831261093923</c:v>
                </c:pt>
                <c:pt idx="39" formatCode="0.0">
                  <c:v>6.2469170409290173</c:v>
                </c:pt>
                <c:pt idx="40" formatCode="0.0">
                  <c:v>6.4712509557486424</c:v>
                </c:pt>
                <c:pt idx="41" formatCode="0.0">
                  <c:v>6.6397738919751239</c:v>
                </c:pt>
                <c:pt idx="42" formatCode="0.0">
                  <c:v>6.8082968282016045</c:v>
                </c:pt>
                <c:pt idx="43" formatCode="0.0">
                  <c:v>6.9768197644280869</c:v>
                </c:pt>
                <c:pt idx="44" formatCode="0.0">
                  <c:v>7.1453427006545684</c:v>
                </c:pt>
                <c:pt idx="45" formatCode="0.0">
                  <c:v>7.31386563688105</c:v>
                </c:pt>
                <c:pt idx="46" formatCode="0.0">
                  <c:v>7.4823885731075306</c:v>
                </c:pt>
                <c:pt idx="47" formatCode="0.0">
                  <c:v>7.650911509334013</c:v>
                </c:pt>
                <c:pt idx="48" formatCode="0.0">
                  <c:v>7.8194344455604936</c:v>
                </c:pt>
                <c:pt idx="49" formatCode="0.0">
                  <c:v>7.987957381786976</c:v>
                </c:pt>
                <c:pt idx="50" formatCode="0.0">
                  <c:v>8.1564803180134575</c:v>
                </c:pt>
                <c:pt idx="51" formatCode="0.0">
                  <c:v>8.3250032542399381</c:v>
                </c:pt>
                <c:pt idx="52" formatCode="0.0">
                  <c:v>8.4935261904664188</c:v>
                </c:pt>
                <c:pt idx="53" formatCode="0.0">
                  <c:v>8.6620491266928994</c:v>
                </c:pt>
                <c:pt idx="54" formatCode="0.0">
                  <c:v>8.83057206291938</c:v>
                </c:pt>
                <c:pt idx="55" formatCode="0.0">
                  <c:v>8.9990949991458642</c:v>
                </c:pt>
                <c:pt idx="56" formatCode="0.0">
                  <c:v>9.1676179353723448</c:v>
                </c:pt>
                <c:pt idx="57" formatCode="0.0">
                  <c:v>9.3361408715988254</c:v>
                </c:pt>
                <c:pt idx="58" formatCode="0.0">
                  <c:v>9.5046638078253061</c:v>
                </c:pt>
                <c:pt idx="59" formatCode="0.0">
                  <c:v>9.6731867440517902</c:v>
                </c:pt>
                <c:pt idx="60" formatCode="0.0">
                  <c:v>9.8417096802782673</c:v>
                </c:pt>
                <c:pt idx="61" formatCode="0.0">
                  <c:v>10.010232616504751</c:v>
                </c:pt>
                <c:pt idx="62" formatCode="0.0">
                  <c:v>10.178755552731232</c:v>
                </c:pt>
                <c:pt idx="63" formatCode="0.0">
                  <c:v>10.347278488957716</c:v>
                </c:pt>
                <c:pt idx="64" formatCode="0.0">
                  <c:v>10.515801425184193</c:v>
                </c:pt>
                <c:pt idx="65" formatCode="0.0">
                  <c:v>10.684324361410678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B-4E47-90BC-9E174DB2AB90}"/>
            </c:ext>
          </c:extLst>
        </c:ser>
        <c:ser>
          <c:idx val="9"/>
          <c:order val="6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Data'!$H$209:$BU$209</c:f>
              <c:numCache>
                <c:formatCode>0</c:formatCode>
                <c:ptCount val="66"/>
                <c:pt idx="34">
                  <c:v>7.4720719590998144</c:v>
                </c:pt>
                <c:pt idx="35" formatCode="0.0">
                  <c:v>7.1893543197707608</c:v>
                </c:pt>
                <c:pt idx="36" formatCode="0.0">
                  <c:v>7.1893543197707608</c:v>
                </c:pt>
                <c:pt idx="37" formatCode="0.0">
                  <c:v>7.1893543197707608</c:v>
                </c:pt>
                <c:pt idx="38" formatCode="0.0">
                  <c:v>7.1893543197707608</c:v>
                </c:pt>
                <c:pt idx="39" formatCode="0.0">
                  <c:v>7.1893543197707608</c:v>
                </c:pt>
                <c:pt idx="40" formatCode="0.0">
                  <c:v>7.1893543197707608</c:v>
                </c:pt>
                <c:pt idx="41" formatCode="0.0">
                  <c:v>7.1893543197707608</c:v>
                </c:pt>
                <c:pt idx="42" formatCode="0.0">
                  <c:v>7.1893543197707608</c:v>
                </c:pt>
                <c:pt idx="43" formatCode="0.0">
                  <c:v>7.1893543197707608</c:v>
                </c:pt>
                <c:pt idx="44" formatCode="0.0">
                  <c:v>7.1893543197707608</c:v>
                </c:pt>
                <c:pt idx="45" formatCode="0.0">
                  <c:v>7.1893543197707608</c:v>
                </c:pt>
                <c:pt idx="46" formatCode="0.0">
                  <c:v>7.1893543197707608</c:v>
                </c:pt>
                <c:pt idx="47" formatCode="0.0">
                  <c:v>7.1893543197707608</c:v>
                </c:pt>
                <c:pt idx="48" formatCode="0.0">
                  <c:v>7.1893543197707608</c:v>
                </c:pt>
                <c:pt idx="49" formatCode="0.0">
                  <c:v>7.1893543197707608</c:v>
                </c:pt>
                <c:pt idx="50" formatCode="0.0">
                  <c:v>7.1893543197707608</c:v>
                </c:pt>
                <c:pt idx="51" formatCode="0.0">
                  <c:v>7.1893543197707608</c:v>
                </c:pt>
                <c:pt idx="52" formatCode="0.0">
                  <c:v>7.1893543197707608</c:v>
                </c:pt>
                <c:pt idx="53" formatCode="0.0">
                  <c:v>7.1893543197707608</c:v>
                </c:pt>
                <c:pt idx="54" formatCode="0.0">
                  <c:v>7.1893543197707608</c:v>
                </c:pt>
                <c:pt idx="55" formatCode="0.0">
                  <c:v>7.1893543197707608</c:v>
                </c:pt>
                <c:pt idx="56" formatCode="0.0">
                  <c:v>7.1893543197707608</c:v>
                </c:pt>
                <c:pt idx="57" formatCode="0.0">
                  <c:v>7.1893543197707608</c:v>
                </c:pt>
                <c:pt idx="58" formatCode="0.0">
                  <c:v>7.1893543197707608</c:v>
                </c:pt>
                <c:pt idx="59" formatCode="0.0">
                  <c:v>7.1893543197707608</c:v>
                </c:pt>
                <c:pt idx="60" formatCode="0.0">
                  <c:v>7.1893543197707608</c:v>
                </c:pt>
                <c:pt idx="61" formatCode="0.0">
                  <c:v>7.1893543197707608</c:v>
                </c:pt>
                <c:pt idx="62" formatCode="0.0">
                  <c:v>7.1893543197707608</c:v>
                </c:pt>
                <c:pt idx="63" formatCode="0.0">
                  <c:v>7.1893543197707608</c:v>
                </c:pt>
                <c:pt idx="64" formatCode="0.0">
                  <c:v>7.1893543197707608</c:v>
                </c:pt>
                <c:pt idx="65" formatCode="0.0">
                  <c:v>7.1893543197707608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1B-4E47-90BC-9E174DB2AB90}"/>
            </c:ext>
          </c:extLst>
        </c:ser>
        <c:ser>
          <c:idx val="10"/>
          <c:order val="7"/>
          <c:tx>
            <c:v>Fráveita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4">
                  <c:v>21.133487460058902</c:v>
                </c:pt>
                <c:pt idx="35">
                  <c:v>20.986771314669053</c:v>
                </c:pt>
                <c:pt idx="36">
                  <c:v>21.296903620412582</c:v>
                </c:pt>
                <c:pt idx="37">
                  <c:v>21.604888684901184</c:v>
                </c:pt>
                <c:pt idx="38">
                  <c:v>21.909386700655752</c:v>
                </c:pt>
                <c:pt idx="39">
                  <c:v>22.211301254459542</c:v>
                </c:pt>
                <c:pt idx="40">
                  <c:v>22.510663501999069</c:v>
                </c:pt>
                <c:pt idx="41">
                  <c:v>22.771411815898531</c:v>
                </c:pt>
                <c:pt idx="42">
                  <c:v>23.026741954499226</c:v>
                </c:pt>
                <c:pt idx="43">
                  <c:v>23.27525179383381</c:v>
                </c:pt>
                <c:pt idx="44">
                  <c:v>23.519776732427079</c:v>
                </c:pt>
                <c:pt idx="45">
                  <c:v>23.760347925984444</c:v>
                </c:pt>
                <c:pt idx="46">
                  <c:v>23.997276954497348</c:v>
                </c:pt>
                <c:pt idx="47">
                  <c:v>24.227759572602015</c:v>
                </c:pt>
                <c:pt idx="48">
                  <c:v>24.451079137928868</c:v>
                </c:pt>
                <c:pt idx="49">
                  <c:v>24.668887035385055</c:v>
                </c:pt>
                <c:pt idx="50">
                  <c:v>24.875979834091442</c:v>
                </c:pt>
                <c:pt idx="51">
                  <c:v>25.076658538944717</c:v>
                </c:pt>
                <c:pt idx="52">
                  <c:v>25.272626998092598</c:v>
                </c:pt>
                <c:pt idx="53">
                  <c:v>25.459710003035628</c:v>
                </c:pt>
                <c:pt idx="54">
                  <c:v>25.639901679488922</c:v>
                </c:pt>
                <c:pt idx="55">
                  <c:v>25.812298435587422</c:v>
                </c:pt>
                <c:pt idx="56">
                  <c:v>25.979081346575157</c:v>
                </c:pt>
                <c:pt idx="57">
                  <c:v>26.137788907914896</c:v>
                </c:pt>
                <c:pt idx="58">
                  <c:v>26.276892563278263</c:v>
                </c:pt>
                <c:pt idx="59">
                  <c:v>26.411379430145949</c:v>
                </c:pt>
                <c:pt idx="60">
                  <c:v>26.539442327317111</c:v>
                </c:pt>
                <c:pt idx="61">
                  <c:v>26.653204555176945</c:v>
                </c:pt>
                <c:pt idx="62">
                  <c:v>26.758942499938904</c:v>
                </c:pt>
                <c:pt idx="63">
                  <c:v>26.859460401944425</c:v>
                </c:pt>
                <c:pt idx="64">
                  <c:v>26.95566184806956</c:v>
                </c:pt>
                <c:pt idx="65">
                  <c:v>27.039414531652774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1B-4E47-90BC-9E174DB2A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696619905977429"/>
          <c:y val="0.34614814814814815"/>
          <c:w val="0.30907407344715143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58907799295171259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9-4E1A-BCE4-789FA222CC8B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9-4E1A-BCE4-789FA222CC8B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9-4E1A-BCE4-789FA222CC8B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9-4E1A-BCE4-789FA222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84101710816703"/>
          <c:y val="0.34908796296296291"/>
          <c:w val="0.30232472411206546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2372093308929211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855092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Data'!$H$153:$AV$153</c15:sqref>
                  </c15:fullRef>
                </c:ext>
              </c:extLst>
              <c:f>'Talnagögn | Numerical Data'!$H$153:$AP$153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3-4F4C-9F31-3679EA021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Data'!$E$132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rgbClr val="41A86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3-4F4C-9F31-3679EA021A03}"/>
            </c:ext>
          </c:extLst>
        </c:ser>
        <c:ser>
          <c:idx val="1"/>
          <c:order val="2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3-4F4C-9F31-3679EA021A03}"/>
            </c:ext>
          </c:extLst>
        </c:ser>
        <c:ser>
          <c:idx val="2"/>
          <c:order val="3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3-4F4C-9F31-3679EA021A03}"/>
            </c:ext>
          </c:extLst>
        </c:ser>
        <c:ser>
          <c:idx val="3"/>
          <c:order val="4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rgbClr val="32323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F3-4F4C-9F31-3679EA021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86409031164394"/>
          <c:y val="0.33658594468231867"/>
          <c:w val="0.22813590968835604"/>
          <c:h val="0.3042938240307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9-45B2-AEB4-BE3B4E269DF7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9-45B2-AEB4-BE3B4E269DF7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9-45B2-AEB4-BE3B4E269DF7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B9-45B2-AEB4-BE3B4E269DF7}"/>
            </c:ext>
          </c:extLst>
        </c:ser>
        <c:ser>
          <c:idx val="10"/>
          <c:order val="4"/>
          <c:tx>
            <c:strRef>
              <c:f>'Talnagögn | Numerical Data'!$E$147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B9-45B2-AEB4-BE3B4E269DF7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9-45B2-AEB4-BE3B4E26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498145156286618"/>
          <c:y val="0.30449999999999999"/>
          <c:w val="0.29501854843713382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00827F"/>
            </a:solidFill>
            <a:ln>
              <a:solidFill>
                <a:srgbClr val="00827F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F68-BBAA-A294366989C3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F-4F68-BBAA-A294366989C3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F-4F68-BBAA-A294366989C3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338DE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F-4F68-BBAA-A294366989C3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F-4F68-BBAA-A294366989C3}"/>
            </c:ext>
          </c:extLst>
        </c:ser>
        <c:ser>
          <c:idx val="4"/>
          <c:order val="5"/>
          <c:tx>
            <c:v>Forestry WEM</c:v>
          </c:tx>
          <c:spPr>
            <a:solidFill>
              <a:srgbClr val="00827F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6DF-4F68-BBAA-A294366989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E-448E-86BD-CB342C10328A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DF-4F68-BBAA-A294366989C3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9ADCB9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DF-4F68-BBAA-A294366989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E-448E-86BD-CB342C10328A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DF-4F68-BBAA-A294366989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accent6"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DF-4F68-BBAA-A294366989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338DE9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DF-4F68-BBAA-A294366989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DF-4F68-BBAA-A2943669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1-44F1-A1D4-8DFE662C9383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1-44F1-A1D4-8DFE662C9383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1-44F1-A1D4-8DFE662C9383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61-44F1-A1D4-8DFE662C9383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61-44F1-A1D4-8DFE662C9383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1-44F1-A1D4-8DFE662C9383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61-44F1-A1D4-8DFE662C9383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61-44F1-A1D4-8DFE662C9383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1-44F1-A1D4-8DFE662C9383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61-44F1-A1D4-8DFE662C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1575720595644E-2"/>
          <c:y val="5.5212553689404496E-2"/>
          <c:w val="0.63646811594202901"/>
          <c:h val="0.8474559383450678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5-4CBE-9AE8-C5193EE4711A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5-4CBE-9AE8-C5193EE4711A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5-4CBE-9AE8-C5193EE4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0544238779148612E-3"/>
              <c:y val="0.18420415923105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8925120772951"/>
          <c:y val="0.31462962962962965"/>
          <c:w val="0.25504082125603866"/>
          <c:h val="0.37577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002402862965562"/>
          <c:y val="0.12092535292309754"/>
          <c:w val="0.45309461673467238"/>
          <c:h val="0.805233211102611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1-46B3-97C4-2DEACDCD57B9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1-46B3-97C4-2DEACDCD57B9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1-46B3-97C4-2DEACDCD57B9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1-46B3-97C4-2DEACDCD57B9}"/>
              </c:ext>
            </c:extLst>
          </c:dPt>
          <c:dLbls>
            <c:dLbl>
              <c:idx val="0"/>
              <c:layout>
                <c:manualLayout>
                  <c:x val="0.18158908480429803"/>
                  <c:y val="-0.15255743055844148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104223865155264"/>
                      <c:h val="0.17173647180949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5D1-46B3-97C4-2DEACDCD57B9}"/>
                </c:ext>
              </c:extLst>
            </c:dLbl>
            <c:dLbl>
              <c:idx val="1"/>
              <c:layout>
                <c:manualLayout>
                  <c:x val="-0.22303379625145023"/>
                  <c:y val="0.1327616401451980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646502882064899"/>
                      <c:h val="0.184041806236946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5D1-46B3-97C4-2DEACDCD57B9}"/>
                </c:ext>
              </c:extLst>
            </c:dLbl>
            <c:dLbl>
              <c:idx val="2"/>
              <c:layout>
                <c:manualLayout>
                  <c:x val="-0.19719420547344491"/>
                  <c:y val="0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5D1-46B3-97C4-2DEACDCD57B9}"/>
                </c:ext>
              </c:extLst>
            </c:dLbl>
            <c:dLbl>
              <c:idx val="3"/>
              <c:layout>
                <c:manualLayout>
                  <c:x val="-0.22050097991293488"/>
                  <c:y val="-0.227776713747016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5D1-46B3-97C4-2DEACDCD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accent5">
                      <a:lumMod val="20000"/>
                      <a:lumOff val="80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Data'!$D$250:$D$253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'Skuldbindingar | Obligations'!$F$121:$F$124</c:f>
              <c:numCache>
                <c:formatCode>0</c:formatCode>
                <c:ptCount val="4"/>
                <c:pt idx="0">
                  <c:v>1832.2924324621736</c:v>
                </c:pt>
                <c:pt idx="1">
                  <c:v>123.6716524789606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D1-46B3-97C4-2DEACDCD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24187002348E-2"/>
          <c:w val="0.62952255531487511"/>
          <c:h val="0.85047983574489872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0-4C5B-93BB-E57164DD8614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C5B-93BB-E57164DD8614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C5B-93BB-E57164DD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1.021819459008579E-3"/>
              <c:y val="0.1764149350823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06546475840206"/>
          <c:y val="0.34823005514605082"/>
          <c:w val="0.26723048896459656"/>
          <c:h val="0.33537446602274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36371527612E-2"/>
          <c:w val="0.6277817854058062"/>
          <c:h val="0.850480034198819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rgbClr val="9D8E90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58-83F8-3BA6629EA137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58-83F8-3BA6629EA137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1B-4258-83F8-3BA6629EA137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B-4258-83F8-3BA6629EA137}"/>
              </c:ext>
            </c:extLst>
          </c:dPt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1B-4258-83F8-3BA6629EA137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58-83F8-3BA6629EA137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chemeClr val="tx1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1B-4258-83F8-3BA6629E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1701609347017159E-5"/>
              <c:y val="0.1754288906606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2208118616373318"/>
          <c:y val="0.36738893850875803"/>
          <c:w val="0.27183288666721261"/>
          <c:h val="0.26414526138627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56611330396193E-2"/>
          <c:y val="5.0741898508067138E-2"/>
          <c:w val="0.63083140371843938"/>
          <c:h val="0.854867629829978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rgbClr val="9D8E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1-4BA2-A8B3-105F9E99FC2B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1-4BA2-A8B3-105F9E99FC2B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1-4BA2-A8B3-105F9E99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1980694104156796E-4"/>
              <c:y val="0.27116461002207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9300569767145"/>
          <c:y val="0.32572273965233178"/>
          <c:w val="0.25898897675464022"/>
          <c:h val="0.3513441601380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12787574954678E-2"/>
          <c:y val="3.1321163443337054E-2"/>
          <c:w val="0.54196894643105353"/>
          <c:h val="0.88463319150996933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6-4FF5-A0AE-BF012B257E79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6-4FF5-A0AE-BF012B257E79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6-4FF5-A0AE-BF012B2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096527983596915E-3"/>
              <c:y val="0.24565660684699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18361133112511"/>
          <c:y val="0.39558362357848059"/>
          <c:w val="0.32508310437295368"/>
          <c:h val="0.21656658714407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8591938147271683"/>
          <c:h val="0.79417416501448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0-4234-97C6-3929290FFFAF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0-4234-97C6-3929290FFFAF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0-4234-97C6-3929290FFFAF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0-4234-97C6-3929290FFFAF}"/>
              </c:ext>
            </c:extLst>
          </c:dPt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C0-4234-97C6-3929290FFFAF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C0-4234-97C6-3929290FFFAF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C0-4234-97C6-3929290F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239549701749393"/>
          <c:y val="0.31437060185185184"/>
          <c:w val="0.29627889245769956"/>
          <c:h val="0.378406018518518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2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C2-4466-90E3-D486FEE4D04E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C2-4466-90E3-D486FEE4D04E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C2-4466-90E3-D486FEE4D04E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C2-4466-90E3-D486FEE4D04E}"/>
              </c:ext>
            </c:extLst>
          </c:dPt>
          <c:dPt>
            <c:idx val="4"/>
            <c:bubble3D val="0"/>
            <c:spPr>
              <a:solidFill>
                <a:srgbClr val="00BD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1C2-4466-90E3-D486FEE4D04E}"/>
              </c:ext>
            </c:extLst>
          </c:dPt>
          <c:dPt>
            <c:idx val="5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1C2-4466-90E3-D486FEE4D04E}"/>
              </c:ext>
            </c:extLst>
          </c:dPt>
          <c:dPt>
            <c:idx val="6"/>
            <c:bubble3D val="0"/>
            <c:spPr>
              <a:solidFill>
                <a:srgbClr val="0E54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1C2-4466-90E3-D486FEE4D04E}"/>
              </c:ext>
            </c:extLst>
          </c:dPt>
          <c:dPt>
            <c:idx val="7"/>
            <c:bubble3D val="0"/>
            <c:spPr>
              <a:solidFill>
                <a:srgbClr val="DED9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1C2-4466-90E3-D486FEE4D04E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chemeClr val="tx1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chemeClr val="tx1"/>
                      </a:solidFill>
                    </a:endParaRPr>
                  </a:p>
                  <a:p>
                    <a:fld id="{C081AAEE-B0EB-45C5-AFCD-EFBF337AEAA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chemeClr val="tx1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chemeClr val="tx1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chemeClr val="tx1"/>
                        </a:solidFill>
                      </a:rPr>
                      <a:t>-íg.</a:t>
                    </a:r>
                    <a:endParaRPr lang="en-US" baseline="0">
                      <a:solidFill>
                        <a:schemeClr val="tx1"/>
                      </a:solidFill>
                    </a:endParaRPr>
                  </a:p>
                  <a:p>
                    <a:fld id="{57ECB39C-78E2-4399-9B89-398C7C5415E8}" type="PERCENTAGE">
                      <a:rPr lang="en-US">
                        <a:solidFill>
                          <a:schemeClr val="tx1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1C2-4466-90E3-D486FEE4D04E}"/>
                </c:ext>
              </c:extLst>
            </c:dLbl>
            <c:dLbl>
              <c:idx val="1"/>
              <c:layout>
                <c:manualLayout>
                  <c:x val="0.18425285832746682"/>
                  <c:y val="0.14124666884043305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>
                        <a:solidFill>
                          <a:srgbClr val="00302F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rgbClr val="00302F"/>
                      </a:solidFill>
                    </a:endParaRPr>
                  </a:p>
                  <a:p>
                    <a:fld id="{BE5F71C0-B0F0-4839-99FB-DEB647B36382}" type="VALUE">
                      <a:rPr lang="en-US">
                        <a:solidFill>
                          <a:srgbClr val="00302F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00302F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rgbClr val="00302F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rgbClr val="00302F"/>
                        </a:solidFill>
                      </a:rPr>
                      <a:t>-íg.</a:t>
                    </a:r>
                    <a:endParaRPr lang="en-US" baseline="0">
                      <a:solidFill>
                        <a:srgbClr val="00302F"/>
                      </a:solidFill>
                    </a:endParaRPr>
                  </a:p>
                  <a:p>
                    <a:fld id="{F0BE0915-A431-44B4-8C9E-025EEA44EFFD}" type="PERCENTAGE">
                      <a:rPr lang="en-US">
                        <a:solidFill>
                          <a:srgbClr val="00302F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1C2-4466-90E3-D486FEE4D04E}"/>
                </c:ext>
              </c:extLst>
            </c:dLbl>
            <c:dLbl>
              <c:idx val="2"/>
              <c:layout>
                <c:manualLayout>
                  <c:x val="-0.15290414629042351"/>
                  <c:y val="0.14100040035825862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1C2-4466-90E3-D486FEE4D04E}"/>
                </c:ext>
              </c:extLst>
            </c:dLbl>
            <c:dLbl>
              <c:idx val="3"/>
              <c:layout>
                <c:manualLayout>
                  <c:x val="-0.26140252045278184"/>
                  <c:y val="9.458154307153204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3EB77067-93BB-4E80-97CC-84C15DC1872E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8830D4F6-0328-49F3-823A-DBEB420284D3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1C2-4466-90E3-D486FEE4D04E}"/>
                </c:ext>
              </c:extLst>
            </c:dLbl>
            <c:dLbl>
              <c:idx val="4"/>
              <c:layout>
                <c:manualLayout>
                  <c:x val="-0.18602598939696061"/>
                  <c:y val="-7.095008729461001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200" b="1"/>
                  </a:p>
                  <a:p>
                    <a:pPr>
                      <a:defRPr sz="1000"/>
                    </a:pPr>
                    <a:fld id="{FB8B9A9A-FD4B-4028-AA9D-6AAB3F3FE18C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E2918651-CA61-42AF-BBAC-C7F2C911C0D6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1C2-4466-90E3-D486FEE4D04E}"/>
                </c:ext>
              </c:extLst>
            </c:dLbl>
            <c:dLbl>
              <c:idx val="5"/>
              <c:layout>
                <c:manualLayout>
                  <c:x val="-0.33244368015956222"/>
                  <c:y val="-0.1298426495737078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5E2E0FC-1352-49D2-A4EC-CC19B47CBB16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B1F9B4A4-D2EF-4177-BC43-9C7748A3C7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AAF471AB-1DDD-4C04-AD01-392E4BAA401B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6840849516476"/>
                      <c:h val="0.1776827098888489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11C2-4466-90E3-D486FEE4D04E}"/>
                </c:ext>
              </c:extLst>
            </c:dLbl>
            <c:dLbl>
              <c:idx val="6"/>
              <c:layout>
                <c:manualLayout>
                  <c:x val="-0.25465402874270121"/>
                  <c:y val="-0.2866200545092584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28D125C8-164D-4DBB-95C2-93A6FF948D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</a:t>
                    </a:r>
                    <a:r>
                      <a:rPr lang="en-US" sz="1000" baseline="-25000"/>
                      <a:t>2</a:t>
                    </a:r>
                    <a:r>
                      <a:rPr lang="en-US" sz="1000"/>
                      <a:t>-íg.</a:t>
                    </a:r>
                  </a:p>
                  <a:p>
                    <a:pPr>
                      <a:defRPr sz="1000"/>
                    </a:pPr>
                    <a:fld id="{D3577341-DE71-4811-9E6C-F8EFAD90E1F4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1C2-4466-90E3-D486FEE4D04E}"/>
                </c:ext>
              </c:extLst>
            </c:dLbl>
            <c:dLbl>
              <c:idx val="7"/>
              <c:layout>
                <c:manualLayout>
                  <c:x val="-5.5951043847589949E-2"/>
                  <c:y val="-0.2346133819051073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7488063E-86A9-4793-A10F-AA777A6FA309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0854663E-D606-4BF9-953E-9E0444D6879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03432184749011"/>
                      <c:h val="0.14743777593420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11C2-4466-90E3-D486FEE4D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302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Obligations'!$E$135:$E$142</c:f>
              <c:strCache>
                <c:ptCount val="8"/>
                <c:pt idx="0">
                  <c:v>Vegasamgöngur</c:v>
                </c:pt>
                <c:pt idx="1">
                  <c:v>Landbúnaður</c:v>
                </c:pt>
                <c:pt idx="2">
                  <c:v>Fiskiskip</c:v>
                </c:pt>
                <c:pt idx="3">
                  <c:v>Urðun úrgangs</c:v>
                </c:pt>
                <c:pt idx="4">
                  <c:v>Jarðvarmavirkjanir</c:v>
                </c:pt>
                <c:pt idx="5">
                  <c:v>Kælibúnaður (F-gös)</c:v>
                </c:pt>
                <c:pt idx="6">
                  <c:v>Vélar og tæki</c:v>
                </c:pt>
                <c:pt idx="7">
                  <c:v>Önnur losun</c:v>
                </c:pt>
              </c:strCache>
            </c:strRef>
          </c:cat>
          <c:val>
            <c:numRef>
              <c:f>'Skuldbindingar | Obligations'!$F$135:$F$142</c:f>
              <c:numCache>
                <c:formatCode>0</c:formatCode>
                <c:ptCount val="8"/>
                <c:pt idx="0">
                  <c:v>898.35428884904547</c:v>
                </c:pt>
                <c:pt idx="1">
                  <c:v>669.59914464131464</c:v>
                </c:pt>
                <c:pt idx="2">
                  <c:v>519.47716734952905</c:v>
                </c:pt>
                <c:pt idx="3">
                  <c:v>203.07062729519799</c:v>
                </c:pt>
                <c:pt idx="4">
                  <c:v>223.69103641446083</c:v>
                </c:pt>
                <c:pt idx="5">
                  <c:v>107.78462088442339</c:v>
                </c:pt>
                <c:pt idx="6">
                  <c:v>76.484306234264068</c:v>
                </c:pt>
                <c:pt idx="7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1C2-4466-90E3-D486FEE4D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302F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88379428761888E-2"/>
          <c:y val="3.2499701640176425E-2"/>
          <c:w val="0.64688342695766721"/>
          <c:h val="0.8802922228004599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Data'!$E$250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0-443D-A4D5-80F7DAF1DA3C}"/>
            </c:ext>
          </c:extLst>
        </c:ser>
        <c:ser>
          <c:idx val="2"/>
          <c:order val="1"/>
          <c:tx>
            <c:strRef>
              <c:f>'Talnagögn | Numerical Data'!$E$252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43D-A4D5-80F7DAF1DA3C}"/>
            </c:ext>
          </c:extLst>
        </c:ser>
        <c:ser>
          <c:idx val="3"/>
          <c:order val="2"/>
          <c:tx>
            <c:strRef>
              <c:f>'Talnagögn | Numerical Data'!$E$253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0-443D-A4D5-80F7DAF1DA3C}"/>
            </c:ext>
          </c:extLst>
        </c:ser>
        <c:ser>
          <c:idx val="1"/>
          <c:order val="3"/>
          <c:tx>
            <c:strRef>
              <c:f>'Talnagögn | Numerical Data'!$E$251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D0-443D-A4D5-80F7DAF1D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8331033502796457E-4"/>
              <c:y val="0.23361129056348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96252745722679"/>
          <c:y val="0.30419650243276958"/>
          <c:w val="0.14314448789139453"/>
          <c:h val="0.28344405503893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039179444674679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8-4BE6-9422-B02A0499417A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8-4BE6-9422-B02A0499417A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8-4BE6-9422-B02A0499417A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8-4BE6-9422-B02A0499417A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8-4BE6-9422-B02A0499417A}"/>
            </c:ext>
          </c:extLst>
        </c:ser>
        <c:ser>
          <c:idx val="4"/>
          <c:order val="5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18-4BE6-9422-B02A0499417A}"/>
            </c:ext>
          </c:extLst>
        </c:ser>
        <c:ser>
          <c:idx val="6"/>
          <c:order val="6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rgbClr val="0E547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18-4BE6-9422-B02A0499417A}"/>
            </c:ext>
          </c:extLst>
        </c:ser>
        <c:ser>
          <c:idx val="7"/>
          <c:order val="7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DED9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18-4BE6-9422-B02A0499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1338937895920906"/>
          <c:y val="0.20943597367115019"/>
          <c:w val="0.28661062104079094"/>
          <c:h val="0.62226096706922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323376139807235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7-4F1F-A734-46CCF74264D6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7-4F1F-A734-46CCF74264D6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7-4F1F-A734-46CCF74264D6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7-4F1F-A734-46CCF74264D6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7-4F1F-A734-46CCF74264D6}"/>
            </c:ext>
          </c:extLst>
        </c:ser>
        <c:ser>
          <c:idx val="7"/>
          <c:order val="5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67-4F1F-A734-46CCF74264D6}"/>
            </c:ext>
          </c:extLst>
        </c:ser>
        <c:ser>
          <c:idx val="4"/>
          <c:order val="6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67-4F1F-A734-46CCF74264D6}"/>
            </c:ext>
          </c:extLst>
        </c:ser>
        <c:ser>
          <c:idx val="6"/>
          <c:order val="7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67-4F1F-A734-46CCF742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25516089334986974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8-4EA3-9B91-5E82D5CB0B2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8-4EA3-9B91-5E82D5CB0B2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8-4EA3-9B91-5E82D5CB0B2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88-4EA3-9B91-5E82D5CB0B2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8-4EA3-9B91-5E82D5CB0B21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8-4EA3-9B91-5E82D5CB0B21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88-4EA3-9B91-5E82D5CB0B21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88-4EA3-9B91-5E82D5CB0B21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88-4EA3-9B91-5E82D5CB0B21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88-4EA3-9B91-5E82D5CB0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62067241594796E-2"/>
          <c:y val="3.1571584669814787E-2"/>
          <c:w val="0.62862065186648941"/>
          <c:h val="0.883710802476459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E-4E4E-B5F6-93F0DC31E60C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E-4E4E-B5F6-93F0DC31E60C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rgbClr val="FF9A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E-4E4E-B5F6-93F0DC31E60C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E-4E4E-B5F6-93F0DC31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0090030585156729E-3"/>
              <c:y val="0.2739950258369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95990831621916"/>
          <c:y val="0.3579076304907437"/>
          <c:w val="0.21427089701476032"/>
          <c:h val="0.28418450946517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27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B-4848-9631-07F7492460CF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BB-4848-9631-07F7492460CF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BB-4848-9631-07F7492460CF}"/>
              </c:ext>
            </c:extLst>
          </c:dPt>
          <c:dPt>
            <c:idx val="3"/>
            <c:invertIfNegative val="0"/>
            <c:bubble3D val="0"/>
            <c:spPr>
              <a:solidFill>
                <a:srgbClr val="5E9F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B-4848-9631-07F7492460CF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BB-4848-9631-07F7492460CF}"/>
              </c:ext>
            </c:extLst>
          </c:dPt>
          <c:cat>
            <c:strRef>
              <c:f>'Talnagögn | Numerical Data'!$D$313:$D$317</c:f>
              <c:strCache>
                <c:ptCount val="5"/>
                <c:pt idx="0">
                  <c:v>Skógar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Annað</c:v>
                </c:pt>
              </c:strCache>
            </c:strRef>
          </c:cat>
          <c:val>
            <c:numRef>
              <c:f>'Talnagögn | Numerical Data'!$AO$313:$AO$317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4865.3819725633139</c:v>
                </c:pt>
                <c:pt idx="3">
                  <c:v>17.149517784685631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BB-4848-9631-07F74924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979348223651"/>
          <c:h val="0.878400535967203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0-40D7-A1E5-26DB64D071A0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0-40D7-A1E5-26DB64D071A0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0-40D7-A1E5-26DB64D071A0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0-40D7-A1E5-26DB64D071A0}"/>
            </c:ext>
          </c:extLst>
        </c:ser>
        <c:ser>
          <c:idx val="4"/>
          <c:order val="4"/>
          <c:tx>
            <c:v>LULUCF WEM</c:v>
          </c:tx>
          <c:spPr>
            <a:solidFill>
              <a:schemeClr val="tx2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30-40D7-A1E5-26DB64D071A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0-40D7-A1E5-26DB64D071A0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30-40D7-A1E5-26DB64D071A0}"/>
            </c:ext>
          </c:extLst>
        </c:ser>
        <c:ser>
          <c:idx val="5"/>
          <c:order val="5"/>
          <c:tx>
            <c:v>ESR WEM</c:v>
          </c:tx>
          <c:spPr>
            <a:solidFill>
              <a:schemeClr val="accent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30-40D7-A1E5-26DB64D071A0}"/>
            </c:ext>
          </c:extLst>
        </c:ser>
        <c:ser>
          <c:idx val="7"/>
          <c:order val="6"/>
          <c:tx>
            <c:v>ETS WEM</c:v>
          </c:tx>
          <c:spPr>
            <a:solidFill>
              <a:schemeClr val="accent3">
                <a:lumMod val="60000"/>
                <a:lumOff val="40000"/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30-40D7-A1E5-26DB64D071A0}"/>
            </c:ext>
          </c:extLst>
        </c:ser>
        <c:ser>
          <c:idx val="8"/>
          <c:order val="7"/>
          <c:tx>
            <c:v>CO2 DomAvi WEM</c:v>
          </c:tx>
          <c:spPr>
            <a:solidFill>
              <a:schemeClr val="tx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30-40D7-A1E5-26DB64D0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219694152996053"/>
          <c:y val="0.35694490740740736"/>
          <c:w val="0.20019999654591861"/>
          <c:h val="0.27710787037037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075989752777906"/>
          <c:h val="0.8724087107045683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23A-AB90-38F4919A06E5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2-423A-AB90-38F4919A06E5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22-423A-AB90-38F4919A06E5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22-423A-AB90-38F4919A06E5}"/>
            </c:ext>
          </c:extLst>
        </c:ser>
        <c:ser>
          <c:idx val="4"/>
          <c:order val="4"/>
          <c:tx>
            <c:v>LULUCF WEM</c:v>
          </c:tx>
          <c:spPr>
            <a:solidFill>
              <a:schemeClr val="tx2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22-423A-AB90-38F4919A06E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22-423A-AB90-38F4919A06E5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22-423A-AB90-38F4919A06E5}"/>
            </c:ext>
          </c:extLst>
        </c:ser>
        <c:ser>
          <c:idx val="5"/>
          <c:order val="5"/>
          <c:tx>
            <c:v>ESR WEM</c:v>
          </c:tx>
          <c:spPr>
            <a:solidFill>
              <a:schemeClr val="accent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22-423A-AB90-38F4919A06E5}"/>
            </c:ext>
          </c:extLst>
        </c:ser>
        <c:ser>
          <c:idx val="7"/>
          <c:order val="6"/>
          <c:tx>
            <c:v>ETS WEM</c:v>
          </c:tx>
          <c:spPr>
            <a:solidFill>
              <a:schemeClr val="accent3">
                <a:lumMod val="60000"/>
                <a:lumOff val="40000"/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22-423A-AB90-38F4919A06E5}"/>
            </c:ext>
          </c:extLst>
        </c:ser>
        <c:ser>
          <c:idx val="8"/>
          <c:order val="7"/>
          <c:tx>
            <c:v>CO2 DomAvi WEM</c:v>
          </c:tx>
          <c:spPr>
            <a:solidFill>
              <a:schemeClr val="tx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22-423A-AB90-38F4919A0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933586990558108"/>
          <c:y val="0.34328204516754918"/>
          <c:w val="0.22163018844201357"/>
          <c:h val="0.3085178808928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1-474B-8CC2-E308BED393E9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1-474B-8CC2-E308BED393E9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1-474B-8CC2-E308BED393E9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1-474B-8CC2-E308BED393E9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Data'!$W$274:$AV$274</c:f>
              <c:numCache>
                <c:formatCode>0</c:formatCode>
                <c:ptCount val="26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1-474B-8CC2-E308BED393E9}"/>
            </c:ext>
          </c:extLst>
        </c:ser>
        <c:ser>
          <c:idx val="4"/>
          <c:order val="5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Data'!$W$273:$AV$273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D1-474B-8CC2-E308BED393E9}"/>
            </c:ext>
          </c:extLst>
        </c:ser>
        <c:ser>
          <c:idx val="6"/>
          <c:order val="6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Data'!$W$275:$AV$275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D1-474B-8CC2-E308BED393E9}"/>
            </c:ext>
          </c:extLst>
        </c:ser>
        <c:ser>
          <c:idx val="7"/>
          <c:order val="7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Data'!$W$279:$AV$279</c:f>
              <c:numCache>
                <c:formatCode>0</c:formatCode>
                <c:ptCount val="26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D1-474B-8CC2-E308BED393E9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D1-474B-8CC2-E308BED393E9}"/>
              </c:ext>
            </c:extLst>
          </c:dPt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D1-474B-8CC2-E308BED393E9}"/>
            </c:ext>
          </c:extLst>
        </c:ser>
        <c:ser>
          <c:idx val="10"/>
          <c:order val="9"/>
          <c:spPr>
            <a:solidFill>
              <a:schemeClr val="accent4">
                <a:lumMod val="60000"/>
                <a:lumOff val="40000"/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D1-474B-8CC2-E308BED393E9}"/>
              </c:ext>
            </c:extLst>
          </c:dPt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D1-474B-8CC2-E308BED393E9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D1-474B-8CC2-E308BED393E9}"/>
            </c:ext>
          </c:extLst>
        </c:ser>
        <c:ser>
          <c:idx val="11"/>
          <c:order val="11"/>
          <c:tx>
            <c:v>Urðun proj</c:v>
          </c:tx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9D1-474B-8CC2-E308BED393E9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Data'!$W$288:$BU$288</c:f>
              <c:numCache>
                <c:formatCode>0</c:formatCode>
                <c:ptCount val="51"/>
                <c:pt idx="19">
                  <c:v>223.69103641446083</c:v>
                </c:pt>
                <c:pt idx="20">
                  <c:v>161.90923786466362</c:v>
                </c:pt>
                <c:pt idx="21">
                  <c:v>149.35848944804636</c:v>
                </c:pt>
                <c:pt idx="22">
                  <c:v>149.38516559080051</c:v>
                </c:pt>
                <c:pt idx="23">
                  <c:v>149.37895541529147</c:v>
                </c:pt>
                <c:pt idx="24">
                  <c:v>149.37420348471278</c:v>
                </c:pt>
                <c:pt idx="25">
                  <c:v>136.58084149693491</c:v>
                </c:pt>
                <c:pt idx="26">
                  <c:v>136.5789334656464</c:v>
                </c:pt>
                <c:pt idx="27">
                  <c:v>136.57845948243136</c:v>
                </c:pt>
                <c:pt idx="28">
                  <c:v>136.57941148167083</c:v>
                </c:pt>
                <c:pt idx="29">
                  <c:v>136.57893480991618</c:v>
                </c:pt>
                <c:pt idx="30">
                  <c:v>136.57893525800614</c:v>
                </c:pt>
                <c:pt idx="31">
                  <c:v>136.57909384986442</c:v>
                </c:pt>
                <c:pt idx="32">
                  <c:v>136.5789879725956</c:v>
                </c:pt>
                <c:pt idx="33">
                  <c:v>136.57900569348868</c:v>
                </c:pt>
                <c:pt idx="34">
                  <c:v>136.57902917198288</c:v>
                </c:pt>
                <c:pt idx="35">
                  <c:v>136.57900761268905</c:v>
                </c:pt>
                <c:pt idx="36">
                  <c:v>136.57901415938687</c:v>
                </c:pt>
                <c:pt idx="37">
                  <c:v>136.57901698135294</c:v>
                </c:pt>
                <c:pt idx="38">
                  <c:v>136.57901291780962</c:v>
                </c:pt>
                <c:pt idx="39">
                  <c:v>136.57901468618314</c:v>
                </c:pt>
                <c:pt idx="40">
                  <c:v>136.5790148617819</c:v>
                </c:pt>
                <c:pt idx="41">
                  <c:v>136.57901415525822</c:v>
                </c:pt>
                <c:pt idx="42">
                  <c:v>136.57901456774113</c:v>
                </c:pt>
                <c:pt idx="43">
                  <c:v>136.57901452826042</c:v>
                </c:pt>
                <c:pt idx="44">
                  <c:v>136.57901441708657</c:v>
                </c:pt>
                <c:pt idx="45">
                  <c:v>136.5790145043627</c:v>
                </c:pt>
                <c:pt idx="46">
                  <c:v>136.57901448323656</c:v>
                </c:pt>
                <c:pt idx="47">
                  <c:v>136.57901446822859</c:v>
                </c:pt>
                <c:pt idx="48">
                  <c:v>136.57901448527593</c:v>
                </c:pt>
                <c:pt idx="49">
                  <c:v>136.57901447891368</c:v>
                </c:pt>
                <c:pt idx="50">
                  <c:v>136.57901447747275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9D1-474B-8CC2-E308BED393E9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Data'!$W$287:$BU$287</c:f>
              <c:numCache>
                <c:formatCode>0</c:formatCode>
                <c:ptCount val="51"/>
                <c:pt idx="19">
                  <c:v>107.78462088442339</c:v>
                </c:pt>
                <c:pt idx="20">
                  <c:v>105.72187170220855</c:v>
                </c:pt>
                <c:pt idx="21">
                  <c:v>83.823690084904044</c:v>
                </c:pt>
                <c:pt idx="22">
                  <c:v>89.442091059791849</c:v>
                </c:pt>
                <c:pt idx="23">
                  <c:v>43.518935760946661</c:v>
                </c:pt>
                <c:pt idx="24">
                  <c:v>28.783740596521415</c:v>
                </c:pt>
                <c:pt idx="25">
                  <c:v>35.288143061420499</c:v>
                </c:pt>
                <c:pt idx="26">
                  <c:v>17.53591620382366</c:v>
                </c:pt>
                <c:pt idx="27">
                  <c:v>18.352437165829741</c:v>
                </c:pt>
                <c:pt idx="28">
                  <c:v>25.087127810230314</c:v>
                </c:pt>
                <c:pt idx="29">
                  <c:v>14.704833954835724</c:v>
                </c:pt>
                <c:pt idx="30">
                  <c:v>9.3934027406685683</c:v>
                </c:pt>
                <c:pt idx="31">
                  <c:v>9.9895174804926654</c:v>
                </c:pt>
                <c:pt idx="32">
                  <c:v>10.358330959147878</c:v>
                </c:pt>
                <c:pt idx="33">
                  <c:v>10.25895007901676</c:v>
                </c:pt>
                <c:pt idx="34">
                  <c:v>10.660310913905738</c:v>
                </c:pt>
                <c:pt idx="35">
                  <c:v>10.993776002891989</c:v>
                </c:pt>
                <c:pt idx="36">
                  <c:v>11.563570640339021</c:v>
                </c:pt>
                <c:pt idx="37">
                  <c:v>11.640349097474523</c:v>
                </c:pt>
                <c:pt idx="38">
                  <c:v>11.70012970754571</c:v>
                </c:pt>
                <c:pt idx="39">
                  <c:v>11.753187736759976</c:v>
                </c:pt>
                <c:pt idx="40">
                  <c:v>11.800243616819975</c:v>
                </c:pt>
                <c:pt idx="41">
                  <c:v>11.940971953978671</c:v>
                </c:pt>
                <c:pt idx="42">
                  <c:v>12.240845835968981</c:v>
                </c:pt>
                <c:pt idx="43">
                  <c:v>11.986792162915226</c:v>
                </c:pt>
                <c:pt idx="44">
                  <c:v>11.867739498494641</c:v>
                </c:pt>
                <c:pt idx="45">
                  <c:v>11.859076026944861</c:v>
                </c:pt>
                <c:pt idx="46">
                  <c:v>11.689526803657612</c:v>
                </c:pt>
                <c:pt idx="47">
                  <c:v>11.544615909658173</c:v>
                </c:pt>
                <c:pt idx="48">
                  <c:v>11.444189380191771</c:v>
                </c:pt>
                <c:pt idx="49">
                  <c:v>11.399306843005277</c:v>
                </c:pt>
                <c:pt idx="50">
                  <c:v>11.395571652176223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D1-474B-8CC2-E308BED393E9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Data'!$W$289:$BU$289</c:f>
              <c:numCache>
                <c:formatCode>0</c:formatCode>
                <c:ptCount val="51"/>
                <c:pt idx="19">
                  <c:v>76.484306234264068</c:v>
                </c:pt>
                <c:pt idx="20">
                  <c:v>76.892072808188189</c:v>
                </c:pt>
                <c:pt idx="21">
                  <c:v>77.451206484566967</c:v>
                </c:pt>
                <c:pt idx="22">
                  <c:v>77.906328279143906</c:v>
                </c:pt>
                <c:pt idx="23">
                  <c:v>78.585155673100331</c:v>
                </c:pt>
                <c:pt idx="24">
                  <c:v>79.456186883750348</c:v>
                </c:pt>
                <c:pt idx="25">
                  <c:v>80.315334581238631</c:v>
                </c:pt>
                <c:pt idx="26">
                  <c:v>81.867603207466871</c:v>
                </c:pt>
                <c:pt idx="27">
                  <c:v>83.332570799213102</c:v>
                </c:pt>
                <c:pt idx="28">
                  <c:v>84.6243414939226</c:v>
                </c:pt>
                <c:pt idx="29">
                  <c:v>85.730420075013541</c:v>
                </c:pt>
                <c:pt idx="30">
                  <c:v>86.672255727426162</c:v>
                </c:pt>
                <c:pt idx="31">
                  <c:v>87.537944588451566</c:v>
                </c:pt>
                <c:pt idx="32">
                  <c:v>88.219208836582652</c:v>
                </c:pt>
                <c:pt idx="33">
                  <c:v>88.678298760300166</c:v>
                </c:pt>
                <c:pt idx="34">
                  <c:v>88.870479119162042</c:v>
                </c:pt>
                <c:pt idx="35">
                  <c:v>88.746618962534086</c:v>
                </c:pt>
                <c:pt idx="36">
                  <c:v>88.249138978675859</c:v>
                </c:pt>
                <c:pt idx="37">
                  <c:v>87.337647318872271</c:v>
                </c:pt>
                <c:pt idx="38">
                  <c:v>85.959716777590387</c:v>
                </c:pt>
                <c:pt idx="39">
                  <c:v>84.07547568952495</c:v>
                </c:pt>
                <c:pt idx="40">
                  <c:v>81.662574747083454</c:v>
                </c:pt>
                <c:pt idx="41">
                  <c:v>78.714179252767067</c:v>
                </c:pt>
                <c:pt idx="42">
                  <c:v>75.246103744568927</c:v>
                </c:pt>
                <c:pt idx="43">
                  <c:v>71.295511525011634</c:v>
                </c:pt>
                <c:pt idx="44">
                  <c:v>66.948134172099941</c:v>
                </c:pt>
                <c:pt idx="45">
                  <c:v>62.304940043582604</c:v>
                </c:pt>
                <c:pt idx="46">
                  <c:v>58.626632085535945</c:v>
                </c:pt>
                <c:pt idx="47">
                  <c:v>53.701033362856137</c:v>
                </c:pt>
                <c:pt idx="48">
                  <c:v>48.83279916936506</c:v>
                </c:pt>
                <c:pt idx="49">
                  <c:v>44.137424862988844</c:v>
                </c:pt>
                <c:pt idx="50">
                  <c:v>39.702956847573645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9D1-474B-8CC2-E308BED393E9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Data'!$W$293:$BU$293</c:f>
              <c:numCache>
                <c:formatCode>0</c:formatCode>
                <c:ptCount val="51"/>
                <c:pt idx="19">
                  <c:v>165.40197900591784</c:v>
                </c:pt>
                <c:pt idx="20">
                  <c:v>135.66801254459415</c:v>
                </c:pt>
                <c:pt idx="21">
                  <c:v>133.45420692126936</c:v>
                </c:pt>
                <c:pt idx="22">
                  <c:v>131.47336350954856</c:v>
                </c:pt>
                <c:pt idx="23">
                  <c:v>130.25879802865802</c:v>
                </c:pt>
                <c:pt idx="24">
                  <c:v>128.09734362420477</c:v>
                </c:pt>
                <c:pt idx="25">
                  <c:v>124.19236705485582</c:v>
                </c:pt>
                <c:pt idx="26">
                  <c:v>120.98829842459645</c:v>
                </c:pt>
                <c:pt idx="27">
                  <c:v>116.50549282371412</c:v>
                </c:pt>
                <c:pt idx="28">
                  <c:v>115.81807684815521</c:v>
                </c:pt>
                <c:pt idx="29">
                  <c:v>115.10462261467774</c:v>
                </c:pt>
                <c:pt idx="30">
                  <c:v>109.81895454867526</c:v>
                </c:pt>
                <c:pt idx="31">
                  <c:v>108.90984507971689</c:v>
                </c:pt>
                <c:pt idx="32">
                  <c:v>108.03143095647215</c:v>
                </c:pt>
                <c:pt idx="33">
                  <c:v>107.24253669626614</c:v>
                </c:pt>
                <c:pt idx="34">
                  <c:v>106.37351005893879</c:v>
                </c:pt>
                <c:pt idx="35">
                  <c:v>105.51599150485708</c:v>
                </c:pt>
                <c:pt idx="36">
                  <c:v>104.32202695814362</c:v>
                </c:pt>
                <c:pt idx="37">
                  <c:v>103.12095450510105</c:v>
                </c:pt>
                <c:pt idx="38">
                  <c:v>101.92710593059496</c:v>
                </c:pt>
                <c:pt idx="39">
                  <c:v>100.71226163099413</c:v>
                </c:pt>
                <c:pt idx="40">
                  <c:v>99.486794955011419</c:v>
                </c:pt>
                <c:pt idx="41">
                  <c:v>98.229702312094332</c:v>
                </c:pt>
                <c:pt idx="42">
                  <c:v>96.947141833431488</c:v>
                </c:pt>
                <c:pt idx="43">
                  <c:v>95.61130287832043</c:v>
                </c:pt>
                <c:pt idx="44">
                  <c:v>94.183540889470123</c:v>
                </c:pt>
                <c:pt idx="45">
                  <c:v>92.478177773033849</c:v>
                </c:pt>
                <c:pt idx="46">
                  <c:v>91.26928573999794</c:v>
                </c:pt>
                <c:pt idx="47">
                  <c:v>90.042054938948922</c:v>
                </c:pt>
                <c:pt idx="48">
                  <c:v>88.814972194176448</c:v>
                </c:pt>
                <c:pt idx="49">
                  <c:v>87.586756138595774</c:v>
                </c:pt>
                <c:pt idx="50">
                  <c:v>83.939066402467233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9D1-474B-8CC2-E308BED39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0.23426704175956631"/>
          <c:w val="0.18787939194597222"/>
          <c:h val="0.55740142125658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816833603440671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3-4F18-B48D-3F8E74131CD1}"/>
            </c:ext>
          </c:extLst>
        </c:ser>
        <c:ser>
          <c:idx val="4"/>
          <c:order val="1"/>
          <c:tx>
            <c:v>Framreiknuð losun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Data'!$W$294:$BU$294</c:f>
              <c:numCache>
                <c:formatCode>0</c:formatCode>
                <c:ptCount val="51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  <c:pt idx="26">
                  <c:v>2338.7023404507599</c:v>
                </c:pt>
                <c:pt idx="27">
                  <c:v>2294.6234201119664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1943.7430317568403</c:v>
                </c:pt>
                <c:pt idx="33">
                  <c:v>1865.0804533292642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1430.951513126515</c:v>
                </c:pt>
                <c:pt idx="40">
                  <c:v>1373.9871534411332</c:v>
                </c:pt>
                <c:pt idx="41">
                  <c:v>1321.6920262867882</c:v>
                </c:pt>
                <c:pt idx="42">
                  <c:v>1271.1458823801638</c:v>
                </c:pt>
                <c:pt idx="43">
                  <c:v>1223.6300656413739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1075.761265246839</c:v>
                </c:pt>
                <c:pt idx="48">
                  <c:v>1045.9527979576096</c:v>
                </c:pt>
                <c:pt idx="49">
                  <c:v>1019.1967381554093</c:v>
                </c:pt>
                <c:pt idx="50">
                  <c:v>993.08597788748853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3-4F18-B48D-3F8E74131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99236401993739"/>
          <c:y val="0.39927902473425747"/>
          <c:w val="0.26667098870653405"/>
          <c:h val="0.1577425536964787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025358841060964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3-4CB5-8EBA-605E7847BBD3}"/>
            </c:ext>
          </c:extLst>
        </c:ser>
        <c:ser>
          <c:idx val="4"/>
          <c:order val="1"/>
          <c:tx>
            <c:v>Emission Projections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Data'!$W$294:$BU$294</c:f>
              <c:numCache>
                <c:formatCode>0</c:formatCode>
                <c:ptCount val="51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  <c:pt idx="26">
                  <c:v>2338.7023404507599</c:v>
                </c:pt>
                <c:pt idx="27">
                  <c:v>2294.6234201119664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1943.7430317568403</c:v>
                </c:pt>
                <c:pt idx="33">
                  <c:v>1865.0804533292642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1430.951513126515</c:v>
                </c:pt>
                <c:pt idx="40">
                  <c:v>1373.9871534411332</c:v>
                </c:pt>
                <c:pt idx="41">
                  <c:v>1321.6920262867882</c:v>
                </c:pt>
                <c:pt idx="42">
                  <c:v>1271.1458823801638</c:v>
                </c:pt>
                <c:pt idx="43">
                  <c:v>1223.6300656413739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1075.761265246839</c:v>
                </c:pt>
                <c:pt idx="48">
                  <c:v>1045.9527979576096</c:v>
                </c:pt>
                <c:pt idx="49">
                  <c:v>1019.1967381554093</c:v>
                </c:pt>
                <c:pt idx="50">
                  <c:v>993.08597788748853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3-4CB5-8EBA-605E7847B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1583764726255"/>
          <c:y val="0.42885409302983174"/>
          <c:w val="0.20031247783216288"/>
          <c:h val="0.151111032565153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7-4516-8D1F-8AB59B176163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7-4516-8D1F-8AB59B176163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7-4516-8D1F-8AB59B176163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7-4516-8D1F-8AB59B176163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Data'!$W$274:$AV$274</c:f>
              <c:numCache>
                <c:formatCode>0</c:formatCode>
                <c:ptCount val="26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C7-4516-8D1F-8AB59B176163}"/>
            </c:ext>
          </c:extLst>
        </c:ser>
        <c:ser>
          <c:idx val="4"/>
          <c:order val="5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Data'!$W$273:$AV$273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C7-4516-8D1F-8AB59B176163}"/>
            </c:ext>
          </c:extLst>
        </c:ser>
        <c:ser>
          <c:idx val="6"/>
          <c:order val="6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Data'!$W$275:$AV$275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C7-4516-8D1F-8AB59B176163}"/>
            </c:ext>
          </c:extLst>
        </c:ser>
        <c:ser>
          <c:idx val="7"/>
          <c:order val="7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Data'!$W$279:$AV$279</c:f>
              <c:numCache>
                <c:formatCode>0</c:formatCode>
                <c:ptCount val="26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C7-4516-8D1F-8AB59B176163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C7-4516-8D1F-8AB59B176163}"/>
              </c:ext>
            </c:extLst>
          </c:dPt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C7-4516-8D1F-8AB59B176163}"/>
            </c:ext>
          </c:extLst>
        </c:ser>
        <c:ser>
          <c:idx val="10"/>
          <c:order val="9"/>
          <c:spPr>
            <a:solidFill>
              <a:schemeClr val="accent4">
                <a:lumMod val="60000"/>
                <a:lumOff val="40000"/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C7-4516-8D1F-8AB59B176163}"/>
              </c:ext>
            </c:extLst>
          </c:dPt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C7-4516-8D1F-8AB59B176163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C7-4516-8D1F-8AB59B176163}"/>
            </c:ext>
          </c:extLst>
        </c:ser>
        <c:ser>
          <c:idx val="11"/>
          <c:order val="11"/>
          <c:tx>
            <c:v>Urðun proj</c:v>
          </c:tx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C7-4516-8D1F-8AB59B176163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Data'!$W$288:$BU$288</c:f>
              <c:numCache>
                <c:formatCode>0</c:formatCode>
                <c:ptCount val="51"/>
                <c:pt idx="19">
                  <c:v>223.69103641446083</c:v>
                </c:pt>
                <c:pt idx="20">
                  <c:v>161.90923786466362</c:v>
                </c:pt>
                <c:pt idx="21">
                  <c:v>149.35848944804636</c:v>
                </c:pt>
                <c:pt idx="22">
                  <c:v>149.38516559080051</c:v>
                </c:pt>
                <c:pt idx="23">
                  <c:v>149.37895541529147</c:v>
                </c:pt>
                <c:pt idx="24">
                  <c:v>149.37420348471278</c:v>
                </c:pt>
                <c:pt idx="25">
                  <c:v>136.58084149693491</c:v>
                </c:pt>
                <c:pt idx="26">
                  <c:v>136.5789334656464</c:v>
                </c:pt>
                <c:pt idx="27">
                  <c:v>136.57845948243136</c:v>
                </c:pt>
                <c:pt idx="28">
                  <c:v>136.57941148167083</c:v>
                </c:pt>
                <c:pt idx="29">
                  <c:v>136.57893480991618</c:v>
                </c:pt>
                <c:pt idx="30">
                  <c:v>136.57893525800614</c:v>
                </c:pt>
                <c:pt idx="31">
                  <c:v>136.57909384986442</c:v>
                </c:pt>
                <c:pt idx="32">
                  <c:v>136.5789879725956</c:v>
                </c:pt>
                <c:pt idx="33">
                  <c:v>136.57900569348868</c:v>
                </c:pt>
                <c:pt idx="34">
                  <c:v>136.57902917198288</c:v>
                </c:pt>
                <c:pt idx="35">
                  <c:v>136.57900761268905</c:v>
                </c:pt>
                <c:pt idx="36">
                  <c:v>136.57901415938687</c:v>
                </c:pt>
                <c:pt idx="37">
                  <c:v>136.57901698135294</c:v>
                </c:pt>
                <c:pt idx="38">
                  <c:v>136.57901291780962</c:v>
                </c:pt>
                <c:pt idx="39">
                  <c:v>136.57901468618314</c:v>
                </c:pt>
                <c:pt idx="40">
                  <c:v>136.5790148617819</c:v>
                </c:pt>
                <c:pt idx="41">
                  <c:v>136.57901415525822</c:v>
                </c:pt>
                <c:pt idx="42">
                  <c:v>136.57901456774113</c:v>
                </c:pt>
                <c:pt idx="43">
                  <c:v>136.57901452826042</c:v>
                </c:pt>
                <c:pt idx="44">
                  <c:v>136.57901441708657</c:v>
                </c:pt>
                <c:pt idx="45">
                  <c:v>136.5790145043627</c:v>
                </c:pt>
                <c:pt idx="46">
                  <c:v>136.57901448323656</c:v>
                </c:pt>
                <c:pt idx="47">
                  <c:v>136.57901446822859</c:v>
                </c:pt>
                <c:pt idx="48">
                  <c:v>136.57901448527593</c:v>
                </c:pt>
                <c:pt idx="49">
                  <c:v>136.57901447891368</c:v>
                </c:pt>
                <c:pt idx="50">
                  <c:v>136.57901447747275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C7-4516-8D1F-8AB59B176163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Data'!$W$287:$BU$287</c:f>
              <c:numCache>
                <c:formatCode>0</c:formatCode>
                <c:ptCount val="51"/>
                <c:pt idx="19">
                  <c:v>107.78462088442339</c:v>
                </c:pt>
                <c:pt idx="20">
                  <c:v>105.72187170220855</c:v>
                </c:pt>
                <c:pt idx="21">
                  <c:v>83.823690084904044</c:v>
                </c:pt>
                <c:pt idx="22">
                  <c:v>89.442091059791849</c:v>
                </c:pt>
                <c:pt idx="23">
                  <c:v>43.518935760946661</c:v>
                </c:pt>
                <c:pt idx="24">
                  <c:v>28.783740596521415</c:v>
                </c:pt>
                <c:pt idx="25">
                  <c:v>35.288143061420499</c:v>
                </c:pt>
                <c:pt idx="26">
                  <c:v>17.53591620382366</c:v>
                </c:pt>
                <c:pt idx="27">
                  <c:v>18.352437165829741</c:v>
                </c:pt>
                <c:pt idx="28">
                  <c:v>25.087127810230314</c:v>
                </c:pt>
                <c:pt idx="29">
                  <c:v>14.704833954835724</c:v>
                </c:pt>
                <c:pt idx="30">
                  <c:v>9.3934027406685683</c:v>
                </c:pt>
                <c:pt idx="31">
                  <c:v>9.9895174804926654</c:v>
                </c:pt>
                <c:pt idx="32">
                  <c:v>10.358330959147878</c:v>
                </c:pt>
                <c:pt idx="33">
                  <c:v>10.25895007901676</c:v>
                </c:pt>
                <c:pt idx="34">
                  <c:v>10.660310913905738</c:v>
                </c:pt>
                <c:pt idx="35">
                  <c:v>10.993776002891989</c:v>
                </c:pt>
                <c:pt idx="36">
                  <c:v>11.563570640339021</c:v>
                </c:pt>
                <c:pt idx="37">
                  <c:v>11.640349097474523</c:v>
                </c:pt>
                <c:pt idx="38">
                  <c:v>11.70012970754571</c:v>
                </c:pt>
                <c:pt idx="39">
                  <c:v>11.753187736759976</c:v>
                </c:pt>
                <c:pt idx="40">
                  <c:v>11.800243616819975</c:v>
                </c:pt>
                <c:pt idx="41">
                  <c:v>11.940971953978671</c:v>
                </c:pt>
                <c:pt idx="42">
                  <c:v>12.240845835968981</c:v>
                </c:pt>
                <c:pt idx="43">
                  <c:v>11.986792162915226</c:v>
                </c:pt>
                <c:pt idx="44">
                  <c:v>11.867739498494641</c:v>
                </c:pt>
                <c:pt idx="45">
                  <c:v>11.859076026944861</c:v>
                </c:pt>
                <c:pt idx="46">
                  <c:v>11.689526803657612</c:v>
                </c:pt>
                <c:pt idx="47">
                  <c:v>11.544615909658173</c:v>
                </c:pt>
                <c:pt idx="48">
                  <c:v>11.444189380191771</c:v>
                </c:pt>
                <c:pt idx="49">
                  <c:v>11.399306843005277</c:v>
                </c:pt>
                <c:pt idx="50">
                  <c:v>11.395571652176223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C7-4516-8D1F-8AB59B176163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Data'!$W$289:$BU$289</c:f>
              <c:numCache>
                <c:formatCode>0</c:formatCode>
                <c:ptCount val="51"/>
                <c:pt idx="19">
                  <c:v>76.484306234264068</c:v>
                </c:pt>
                <c:pt idx="20">
                  <c:v>76.892072808188189</c:v>
                </c:pt>
                <c:pt idx="21">
                  <c:v>77.451206484566967</c:v>
                </c:pt>
                <c:pt idx="22">
                  <c:v>77.906328279143906</c:v>
                </c:pt>
                <c:pt idx="23">
                  <c:v>78.585155673100331</c:v>
                </c:pt>
                <c:pt idx="24">
                  <c:v>79.456186883750348</c:v>
                </c:pt>
                <c:pt idx="25">
                  <c:v>80.315334581238631</c:v>
                </c:pt>
                <c:pt idx="26">
                  <c:v>81.867603207466871</c:v>
                </c:pt>
                <c:pt idx="27">
                  <c:v>83.332570799213102</c:v>
                </c:pt>
                <c:pt idx="28">
                  <c:v>84.6243414939226</c:v>
                </c:pt>
                <c:pt idx="29">
                  <c:v>85.730420075013541</c:v>
                </c:pt>
                <c:pt idx="30">
                  <c:v>86.672255727426162</c:v>
                </c:pt>
                <c:pt idx="31">
                  <c:v>87.537944588451566</c:v>
                </c:pt>
                <c:pt idx="32">
                  <c:v>88.219208836582652</c:v>
                </c:pt>
                <c:pt idx="33">
                  <c:v>88.678298760300166</c:v>
                </c:pt>
                <c:pt idx="34">
                  <c:v>88.870479119162042</c:v>
                </c:pt>
                <c:pt idx="35">
                  <c:v>88.746618962534086</c:v>
                </c:pt>
                <c:pt idx="36">
                  <c:v>88.249138978675859</c:v>
                </c:pt>
                <c:pt idx="37">
                  <c:v>87.337647318872271</c:v>
                </c:pt>
                <c:pt idx="38">
                  <c:v>85.959716777590387</c:v>
                </c:pt>
                <c:pt idx="39">
                  <c:v>84.07547568952495</c:v>
                </c:pt>
                <c:pt idx="40">
                  <c:v>81.662574747083454</c:v>
                </c:pt>
                <c:pt idx="41">
                  <c:v>78.714179252767067</c:v>
                </c:pt>
                <c:pt idx="42">
                  <c:v>75.246103744568927</c:v>
                </c:pt>
                <c:pt idx="43">
                  <c:v>71.295511525011634</c:v>
                </c:pt>
                <c:pt idx="44">
                  <c:v>66.948134172099941</c:v>
                </c:pt>
                <c:pt idx="45">
                  <c:v>62.304940043582604</c:v>
                </c:pt>
                <c:pt idx="46">
                  <c:v>58.626632085535945</c:v>
                </c:pt>
                <c:pt idx="47">
                  <c:v>53.701033362856137</c:v>
                </c:pt>
                <c:pt idx="48">
                  <c:v>48.83279916936506</c:v>
                </c:pt>
                <c:pt idx="49">
                  <c:v>44.137424862988844</c:v>
                </c:pt>
                <c:pt idx="50">
                  <c:v>39.702956847573645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C7-4516-8D1F-8AB59B176163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Data'!$W$293:$BU$293</c:f>
              <c:numCache>
                <c:formatCode>0</c:formatCode>
                <c:ptCount val="51"/>
                <c:pt idx="19">
                  <c:v>165.40197900591784</c:v>
                </c:pt>
                <c:pt idx="20">
                  <c:v>135.66801254459415</c:v>
                </c:pt>
                <c:pt idx="21">
                  <c:v>133.45420692126936</c:v>
                </c:pt>
                <c:pt idx="22">
                  <c:v>131.47336350954856</c:v>
                </c:pt>
                <c:pt idx="23">
                  <c:v>130.25879802865802</c:v>
                </c:pt>
                <c:pt idx="24">
                  <c:v>128.09734362420477</c:v>
                </c:pt>
                <c:pt idx="25">
                  <c:v>124.19236705485582</c:v>
                </c:pt>
                <c:pt idx="26">
                  <c:v>120.98829842459645</c:v>
                </c:pt>
                <c:pt idx="27">
                  <c:v>116.50549282371412</c:v>
                </c:pt>
                <c:pt idx="28">
                  <c:v>115.81807684815521</c:v>
                </c:pt>
                <c:pt idx="29">
                  <c:v>115.10462261467774</c:v>
                </c:pt>
                <c:pt idx="30">
                  <c:v>109.81895454867526</c:v>
                </c:pt>
                <c:pt idx="31">
                  <c:v>108.90984507971689</c:v>
                </c:pt>
                <c:pt idx="32">
                  <c:v>108.03143095647215</c:v>
                </c:pt>
                <c:pt idx="33">
                  <c:v>107.24253669626614</c:v>
                </c:pt>
                <c:pt idx="34">
                  <c:v>106.37351005893879</c:v>
                </c:pt>
                <c:pt idx="35">
                  <c:v>105.51599150485708</c:v>
                </c:pt>
                <c:pt idx="36">
                  <c:v>104.32202695814362</c:v>
                </c:pt>
                <c:pt idx="37">
                  <c:v>103.12095450510105</c:v>
                </c:pt>
                <c:pt idx="38">
                  <c:v>101.92710593059496</c:v>
                </c:pt>
                <c:pt idx="39">
                  <c:v>100.71226163099413</c:v>
                </c:pt>
                <c:pt idx="40">
                  <c:v>99.486794955011419</c:v>
                </c:pt>
                <c:pt idx="41">
                  <c:v>98.229702312094332</c:v>
                </c:pt>
                <c:pt idx="42">
                  <c:v>96.947141833431488</c:v>
                </c:pt>
                <c:pt idx="43">
                  <c:v>95.61130287832043</c:v>
                </c:pt>
                <c:pt idx="44">
                  <c:v>94.183540889470123</c:v>
                </c:pt>
                <c:pt idx="45">
                  <c:v>92.478177773033849</c:v>
                </c:pt>
                <c:pt idx="46">
                  <c:v>91.26928573999794</c:v>
                </c:pt>
                <c:pt idx="47">
                  <c:v>90.042054938948922</c:v>
                </c:pt>
                <c:pt idx="48">
                  <c:v>88.814972194176448</c:v>
                </c:pt>
                <c:pt idx="49">
                  <c:v>87.586756138595774</c:v>
                </c:pt>
                <c:pt idx="50">
                  <c:v>83.939066402467233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C7-4516-8D1F-8AB59B176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0.12256091238983929"/>
          <c:w val="0.25999296312922365"/>
          <c:h val="0.75392172109901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6132870370370376E-2"/>
          <c:w val="0.63250700483091793"/>
          <c:h val="0.87429398148148163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8-4FBB-B5A3-6A8FFA865D86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8-4FBB-B5A3-6A8FFA865D86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8-4FBB-B5A3-6A8FFA865D86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8-4FBB-B5A3-6A8FFA865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5.7902909459540977E-5"/>
              <c:y val="0.21147686090293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572463768114"/>
          <c:y val="0.36046653049203037"/>
          <c:w val="0.23556292270531401"/>
          <c:h val="0.2733034935102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6100940679118E-2"/>
          <c:y val="3.151473533826004E-2"/>
          <c:w val="0.64059635335694709"/>
          <c:h val="0.8839201984638765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1-4BD2-88D8-8F19E1D1909E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1-4BD2-88D8-8F19E1D1909E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BD2-88D8-8F19E1D1909E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1-4BD2-88D8-8F19E1D1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786682635604342E-3"/>
              <c:y val="0.27726695733013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70182194294709"/>
          <c:y val="0.37559769950825084"/>
          <c:w val="0.23583205846078611"/>
          <c:h val="0.26046568108705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503641049461333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B-4B7C-A52C-DDB0E7EEBEE6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B-4B7C-A52C-DDB0E7EEBEE6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B-4B7C-A52C-DDB0E7EEBEE6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B-4B7C-A52C-DDB0E7EEBEE6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B-4B7C-A52C-DDB0E7EEBEE6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B-4B7C-A52C-DDB0E7EEBEE6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  <c:extLst xmlns:c15="http://schemas.microsoft.com/office/drawing/2012/chart"/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58AB-4B7C-A52C-DDB0E7EEBEE6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AB-4B7C-A52C-DDB0E7EEBEE6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B-4B7C-A52C-DDB0E7EEBEE6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  <c:extLst xmlns:c15="http://schemas.microsoft.com/office/drawing/2012/chart"/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58AB-4B7C-A52C-DDB0E7EEB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  <c:extLst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7530104836252667"/>
          <c:y val="0.34512227189061268"/>
          <c:w val="0.22469895163747336"/>
          <c:h val="0.33973249881625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83737303372644E-2"/>
          <c:y val="3.1310324764494586E-2"/>
          <c:w val="0.6411608144764892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Data'!$D$250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9-45B6-8279-54113A4D2E76}"/>
            </c:ext>
          </c:extLst>
        </c:ser>
        <c:ser>
          <c:idx val="1"/>
          <c:order val="1"/>
          <c:tx>
            <c:strRef>
              <c:f>'Talnagögn | Numerical Data'!$D$251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9-45B6-8279-54113A4D2E76}"/>
            </c:ext>
          </c:extLst>
        </c:ser>
        <c:ser>
          <c:idx val="2"/>
          <c:order val="2"/>
          <c:tx>
            <c:strRef>
              <c:f>'Talnagögn | Numerical Data'!$D$252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9-45B6-8279-54113A4D2E76}"/>
            </c:ext>
          </c:extLst>
        </c:ser>
        <c:ser>
          <c:idx val="3"/>
          <c:order val="3"/>
          <c:tx>
            <c:strRef>
              <c:f>'Talnagögn | Numerical Data'!$D$253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9-45B6-8279-54113A4D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181602489752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5970503049143"/>
          <c:y val="0.3538835448666644"/>
          <c:w val="0.19059277502173311"/>
          <c:h val="0.29223268614122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3140096618358"/>
          <c:y val="1.9086342592592592E-2"/>
          <c:w val="0.63195833333333318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0-42D3-AA1D-3C9E4B1A8D11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0-42D3-AA1D-3C9E4B1A8D11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0-42D3-AA1D-3C9E4B1A8D11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10-42D3-AA1D-3C9E4B1A8D11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10-42D3-AA1D-3C9E4B1A8D11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10-42D3-AA1D-3C9E4B1A8D11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10-42D3-AA1D-3C9E4B1A8D11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0-42D3-AA1D-3C9E4B1A8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462475845410625"/>
          <c:y val="0.35394166666666665"/>
          <c:w val="0.25384142512077296"/>
          <c:h val="0.304454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405280237032096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'Talnagögn | Numerical Data'!$W$10:$AV$10</c:f>
              <c:numCache>
                <c:formatCode>0</c:formatCode>
                <c:ptCount val="26"/>
                <c:pt idx="0">
                  <c:v>10362.363824392367</c:v>
                </c:pt>
                <c:pt idx="1">
                  <c:v>10972.339971400736</c:v>
                </c:pt>
                <c:pt idx="2">
                  <c:v>11182.72086377362</c:v>
                </c:pt>
                <c:pt idx="3">
                  <c:v>11608.101205520203</c:v>
                </c:pt>
                <c:pt idx="4">
                  <c:v>11360.951688703126</c:v>
                </c:pt>
                <c:pt idx="5">
                  <c:v>11240.754174455162</c:v>
                </c:pt>
                <c:pt idx="6">
                  <c:v>11007.994272392265</c:v>
                </c:pt>
                <c:pt idx="7">
                  <c:v>11005.990216227779</c:v>
                </c:pt>
                <c:pt idx="8">
                  <c:v>11011.9809385637</c:v>
                </c:pt>
                <c:pt idx="9">
                  <c:v>11028.247886094605</c:v>
                </c:pt>
                <c:pt idx="10">
                  <c:v>11089.998794360896</c:v>
                </c:pt>
                <c:pt idx="11">
                  <c:v>11032.279230635189</c:v>
                </c:pt>
                <c:pt idx="12">
                  <c:v>11086.224093880986</c:v>
                </c:pt>
                <c:pt idx="13">
                  <c:v>11138.159200325152</c:v>
                </c:pt>
                <c:pt idx="14">
                  <c:v>11009.885596376129</c:v>
                </c:pt>
                <c:pt idx="15">
                  <c:v>10829.55170028296</c:v>
                </c:pt>
                <c:pt idx="16">
                  <c:v>10974.016972400603</c:v>
                </c:pt>
                <c:pt idx="17">
                  <c:v>11019.195296400034</c:v>
                </c:pt>
                <c:pt idx="18">
                  <c:v>10890.594939509254</c:v>
                </c:pt>
                <c:pt idx="19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5AD-BB96-363084A7C4A6}"/>
            </c:ext>
          </c:extLst>
        </c:ser>
        <c:ser>
          <c:idx val="5"/>
          <c:order val="1"/>
          <c:tx>
            <c:v>Framreiknuð losun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Data'!$H$19:$BU$19</c15:sqref>
                  </c15:fullRef>
                </c:ext>
              </c:extLst>
              <c:f>'Talnagögn | Numerical Data'!$W$19:$BU$19</c:f>
              <c:numCache>
                <c:formatCode>0</c:formatCode>
                <c:ptCount val="51"/>
                <c:pt idx="19">
                  <c:v>11042.082672269855</c:v>
                </c:pt>
                <c:pt idx="20">
                  <c:v>10769.078188733039</c:v>
                </c:pt>
                <c:pt idx="21">
                  <c:v>10787.020214403454</c:v>
                </c:pt>
                <c:pt idx="22">
                  <c:v>10727.657964430666</c:v>
                </c:pt>
                <c:pt idx="23">
                  <c:v>10623.188857873205</c:v>
                </c:pt>
                <c:pt idx="24">
                  <c:v>10551.879358681947</c:v>
                </c:pt>
                <c:pt idx="25">
                  <c:v>10480.411719752532</c:v>
                </c:pt>
                <c:pt idx="26">
                  <c:v>10385.325229901742</c:v>
                </c:pt>
                <c:pt idx="27">
                  <c:v>10311.623494962978</c:v>
                </c:pt>
                <c:pt idx="28">
                  <c:v>10237.587541113695</c:v>
                </c:pt>
                <c:pt idx="29">
                  <c:v>10145.636894515499</c:v>
                </c:pt>
                <c:pt idx="30">
                  <c:v>10036.887504978267</c:v>
                </c:pt>
                <c:pt idx="31">
                  <c:v>9933.6832697117807</c:v>
                </c:pt>
                <c:pt idx="32">
                  <c:v>9852.0770243297538</c:v>
                </c:pt>
                <c:pt idx="33">
                  <c:v>9740.0609553923969</c:v>
                </c:pt>
                <c:pt idx="34">
                  <c:v>9620.8998626756857</c:v>
                </c:pt>
                <c:pt idx="35">
                  <c:v>9501.8590852859852</c:v>
                </c:pt>
                <c:pt idx="36">
                  <c:v>9368.1928065818993</c:v>
                </c:pt>
                <c:pt idx="37">
                  <c:v>9243.982745665684</c:v>
                </c:pt>
                <c:pt idx="38">
                  <c:v>9117.1956826933438</c:v>
                </c:pt>
                <c:pt idx="39">
                  <c:v>8996.1400927358445</c:v>
                </c:pt>
                <c:pt idx="40">
                  <c:v>8876.3677830016768</c:v>
                </c:pt>
                <c:pt idx="41">
                  <c:v>8750.8667336881972</c:v>
                </c:pt>
                <c:pt idx="42">
                  <c:v>8624.2309166506984</c:v>
                </c:pt>
                <c:pt idx="43">
                  <c:v>8504.3100585144384</c:v>
                </c:pt>
                <c:pt idx="44">
                  <c:v>8377.1498329689166</c:v>
                </c:pt>
                <c:pt idx="45">
                  <c:v>8254.0390623486255</c:v>
                </c:pt>
                <c:pt idx="46">
                  <c:v>8127.7497921658496</c:v>
                </c:pt>
                <c:pt idx="47">
                  <c:v>8013.4712284672387</c:v>
                </c:pt>
                <c:pt idx="48">
                  <c:v>7891.7673724409042</c:v>
                </c:pt>
                <c:pt idx="49">
                  <c:v>7775.208054967361</c:v>
                </c:pt>
                <c:pt idx="50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F-45AD-BB96-363084A7C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6940834716265E-3"/>
              <c:y val="0.1425941023156011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68927785585237"/>
          <c:y val="0.4000339037112296"/>
          <c:w val="0.23022365250288077"/>
          <c:h val="0.1888396566357035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234743084379847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2-459E-83D1-FBF43E887657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2-459E-83D1-FBF43E887657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2-459E-83D1-FBF43E887657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02-459E-83D1-FBF43E887657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2-459E-83D1-FBF43E887657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2-459E-83D1-FBF43E887657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02-459E-83D1-FBF43E887657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2-459E-83D1-FBF43E887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1821300903338003"/>
          <c:y val="0.36909761382549244"/>
          <c:w val="0.2725845369788899"/>
          <c:h val="0.28579663203870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574549967384332"/>
          <c:y val="9.0743673123144353E-2"/>
          <c:w val="0.47358043063879246"/>
          <c:h val="0.8469054648921218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D0-4521-8FD2-742C3DCD132A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D0-4521-8FD2-742C3DCD132A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D0-4521-8FD2-742C3DCD132A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D0-4521-8FD2-742C3DCD132A}"/>
              </c:ext>
            </c:extLst>
          </c:dPt>
          <c:dLbls>
            <c:dLbl>
              <c:idx val="0"/>
              <c:layout>
                <c:manualLayout>
                  <c:x val="0.19231413490980878"/>
                  <c:y val="-1.2221152478460543E-2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1D0-4521-8FD2-742C3DCD132A}"/>
                </c:ext>
              </c:extLst>
            </c:dLbl>
            <c:dLbl>
              <c:idx val="1"/>
              <c:layout>
                <c:manualLayout>
                  <c:x val="-0.14775400094606639"/>
                  <c:y val="0.1443595362646684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9349987020536106E-2"/>
                      <c:h val="0.149780632398147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1D0-4521-8FD2-742C3DCD132A}"/>
                </c:ext>
              </c:extLst>
            </c:dLbl>
            <c:dLbl>
              <c:idx val="2"/>
              <c:layout>
                <c:manualLayout>
                  <c:x val="-0.16697622271665533"/>
                  <c:y val="1.1451342726289691E-2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1D0-4521-8FD2-742C3DCD132A}"/>
                </c:ext>
              </c:extLst>
            </c:dLbl>
            <c:dLbl>
              <c:idx val="3"/>
              <c:layout>
                <c:manualLayout>
                  <c:x val="-0.2387580729076762"/>
                  <c:y val="-0.2019918469296385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1D0-4521-8FD2-742C3DCD1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accent5">
                      <a:lumMod val="20000"/>
                      <a:lumOff val="80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Data'!$E$250:$E$253</c:f>
              <c:strCache>
                <c:ptCount val="4"/>
                <c:pt idx="0">
                  <c:v>Energy</c:v>
                </c:pt>
                <c:pt idx="1">
                  <c:v>Industry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'Skuldbindingar | Obligations'!$F$121:$F$124</c:f>
              <c:numCache>
                <c:formatCode>0</c:formatCode>
                <c:ptCount val="4"/>
                <c:pt idx="0">
                  <c:v>1832.2924324621736</c:v>
                </c:pt>
                <c:pt idx="1">
                  <c:v>123.6716524789606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D0-4521-8FD2-742C3DCD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676934100931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Data'!$E$4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'Talnagögn | Numerical Data'!$W$10:$AV$10</c:f>
              <c:numCache>
                <c:formatCode>0</c:formatCode>
                <c:ptCount val="26"/>
                <c:pt idx="0">
                  <c:v>10362.363824392367</c:v>
                </c:pt>
                <c:pt idx="1">
                  <c:v>10972.339971400736</c:v>
                </c:pt>
                <c:pt idx="2">
                  <c:v>11182.72086377362</c:v>
                </c:pt>
                <c:pt idx="3">
                  <c:v>11608.101205520203</c:v>
                </c:pt>
                <c:pt idx="4">
                  <c:v>11360.951688703126</c:v>
                </c:pt>
                <c:pt idx="5">
                  <c:v>11240.754174455162</c:v>
                </c:pt>
                <c:pt idx="6">
                  <c:v>11007.994272392265</c:v>
                </c:pt>
                <c:pt idx="7">
                  <c:v>11005.990216227779</c:v>
                </c:pt>
                <c:pt idx="8">
                  <c:v>11011.9809385637</c:v>
                </c:pt>
                <c:pt idx="9">
                  <c:v>11028.247886094605</c:v>
                </c:pt>
                <c:pt idx="10">
                  <c:v>11089.998794360896</c:v>
                </c:pt>
                <c:pt idx="11">
                  <c:v>11032.279230635189</c:v>
                </c:pt>
                <c:pt idx="12">
                  <c:v>11086.224093880986</c:v>
                </c:pt>
                <c:pt idx="13">
                  <c:v>11138.159200325152</c:v>
                </c:pt>
                <c:pt idx="14">
                  <c:v>11009.885596376129</c:v>
                </c:pt>
                <c:pt idx="15">
                  <c:v>10829.55170028296</c:v>
                </c:pt>
                <c:pt idx="16">
                  <c:v>10974.016972400603</c:v>
                </c:pt>
                <c:pt idx="17">
                  <c:v>11019.195296400034</c:v>
                </c:pt>
                <c:pt idx="18">
                  <c:v>10890.594939509254</c:v>
                </c:pt>
                <c:pt idx="19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5-43F6-96CC-5B52BB236C29}"/>
            </c:ext>
          </c:extLst>
        </c:ser>
        <c:ser>
          <c:idx val="5"/>
          <c:order val="1"/>
          <c:tx>
            <c:v>Emission Projections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Data'!$H$19:$BU$19</c15:sqref>
                  </c15:fullRef>
                </c:ext>
              </c:extLst>
              <c:f>'Talnagögn | Numerical Data'!$W$19:$BU$19</c:f>
              <c:numCache>
                <c:formatCode>0</c:formatCode>
                <c:ptCount val="51"/>
                <c:pt idx="19">
                  <c:v>11042.082672269855</c:v>
                </c:pt>
                <c:pt idx="20">
                  <c:v>10769.078188733039</c:v>
                </c:pt>
                <c:pt idx="21">
                  <c:v>10787.020214403454</c:v>
                </c:pt>
                <c:pt idx="22">
                  <c:v>10727.657964430666</c:v>
                </c:pt>
                <c:pt idx="23">
                  <c:v>10623.188857873205</c:v>
                </c:pt>
                <c:pt idx="24">
                  <c:v>10551.879358681947</c:v>
                </c:pt>
                <c:pt idx="25">
                  <c:v>10480.411719752532</c:v>
                </c:pt>
                <c:pt idx="26">
                  <c:v>10385.325229901742</c:v>
                </c:pt>
                <c:pt idx="27">
                  <c:v>10311.623494962978</c:v>
                </c:pt>
                <c:pt idx="28">
                  <c:v>10237.587541113695</c:v>
                </c:pt>
                <c:pt idx="29">
                  <c:v>10145.636894515499</c:v>
                </c:pt>
                <c:pt idx="30">
                  <c:v>10036.887504978267</c:v>
                </c:pt>
                <c:pt idx="31">
                  <c:v>9933.6832697117807</c:v>
                </c:pt>
                <c:pt idx="32">
                  <c:v>9852.0770243297538</c:v>
                </c:pt>
                <c:pt idx="33">
                  <c:v>9740.0609553923969</c:v>
                </c:pt>
                <c:pt idx="34">
                  <c:v>9620.8998626756857</c:v>
                </c:pt>
                <c:pt idx="35">
                  <c:v>9501.8590852859852</c:v>
                </c:pt>
                <c:pt idx="36">
                  <c:v>9368.1928065818993</c:v>
                </c:pt>
                <c:pt idx="37">
                  <c:v>9243.982745665684</c:v>
                </c:pt>
                <c:pt idx="38">
                  <c:v>9117.1956826933438</c:v>
                </c:pt>
                <c:pt idx="39">
                  <c:v>8996.1400927358445</c:v>
                </c:pt>
                <c:pt idx="40">
                  <c:v>8876.3677830016768</c:v>
                </c:pt>
                <c:pt idx="41">
                  <c:v>8750.8667336881972</c:v>
                </c:pt>
                <c:pt idx="42">
                  <c:v>8624.2309166506984</c:v>
                </c:pt>
                <c:pt idx="43">
                  <c:v>8504.3100585144384</c:v>
                </c:pt>
                <c:pt idx="44">
                  <c:v>8377.1498329689166</c:v>
                </c:pt>
                <c:pt idx="45">
                  <c:v>8254.0390623486255</c:v>
                </c:pt>
                <c:pt idx="46">
                  <c:v>8127.7497921658496</c:v>
                </c:pt>
                <c:pt idx="47">
                  <c:v>8013.4712284672387</c:v>
                </c:pt>
                <c:pt idx="48">
                  <c:v>7891.7673724409042</c:v>
                </c:pt>
                <c:pt idx="49">
                  <c:v>7775.208054967361</c:v>
                </c:pt>
                <c:pt idx="50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5-43F6-96CC-5B52BB23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74726329940465"/>
          <c:y val="0.41545430492828755"/>
          <c:w val="0.22866513761871413"/>
          <c:h val="0.1594708622198593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075989752777906"/>
          <c:h val="0.872408710704568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3-4E2A-8380-2A7C964A7FE5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3-4E2A-8380-2A7C964A7FE5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3-4E2A-8380-2A7C964A7FE5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3-4E2A-8380-2A7C964A7FE5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33-4E2A-8380-2A7C964A7FE5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33-4E2A-8380-2A7C964A7FE5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33-4E2A-8380-2A7C964A7FE5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33-4E2A-8380-2A7C964A7FE5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33-4E2A-8380-2A7C964A7FE5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3-4E2A-8380-2A7C964A7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164326465179864"/>
          <c:y val="0.35225666738615818"/>
          <c:w val="0.21243393719806763"/>
          <c:h val="0.27356859525772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2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A-4AE1-838E-438C0963F152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3A-4AE1-838E-438C0963F152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3A-4AE1-838E-438C0963F152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3A-4AE1-838E-438C0963F152}"/>
              </c:ext>
            </c:extLst>
          </c:dPt>
          <c:dPt>
            <c:idx val="4"/>
            <c:bubble3D val="0"/>
            <c:spPr>
              <a:solidFill>
                <a:srgbClr val="00BD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3A-4AE1-838E-438C0963F152}"/>
              </c:ext>
            </c:extLst>
          </c:dPt>
          <c:dPt>
            <c:idx val="5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D3A-4AE1-838E-438C0963F152}"/>
              </c:ext>
            </c:extLst>
          </c:dPt>
          <c:dPt>
            <c:idx val="6"/>
            <c:bubble3D val="0"/>
            <c:spPr>
              <a:solidFill>
                <a:srgbClr val="0E54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D3A-4AE1-838E-438C0963F152}"/>
              </c:ext>
            </c:extLst>
          </c:dPt>
          <c:dPt>
            <c:idx val="7"/>
            <c:bubble3D val="0"/>
            <c:spPr>
              <a:solidFill>
                <a:srgbClr val="DED9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D3A-4AE1-838E-438C0963F152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chemeClr val="tx1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chemeClr val="tx1"/>
                      </a:solidFill>
                    </a:endParaRPr>
                  </a:p>
                  <a:p>
                    <a:fld id="{C081AAEE-B0EB-45C5-AFCD-EFBF337AEAA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>
                      <a:solidFill>
                        <a:schemeClr val="tx1"/>
                      </a:solidFill>
                    </a:endParaRPr>
                  </a:p>
                  <a:p>
                    <a:fld id="{57ECB39C-78E2-4399-9B89-398C7C5415E8}" type="PERCENTAGE">
                      <a:rPr lang="en-US">
                        <a:solidFill>
                          <a:schemeClr val="tx1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D3A-4AE1-838E-438C0963F152}"/>
                </c:ext>
              </c:extLst>
            </c:dLbl>
            <c:dLbl>
              <c:idx val="1"/>
              <c:layout>
                <c:manualLayout>
                  <c:x val="0.18425285832746682"/>
                  <c:y val="0.14124666884043305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>
                        <a:solidFill>
                          <a:srgbClr val="00302F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rgbClr val="00302F"/>
                      </a:solidFill>
                    </a:endParaRPr>
                  </a:p>
                  <a:p>
                    <a:fld id="{BE5F71C0-B0F0-4839-99FB-DEB647B36382}" type="VALUE">
                      <a:rPr lang="en-US">
                        <a:solidFill>
                          <a:srgbClr val="00302F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00302F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>
                      <a:solidFill>
                        <a:srgbClr val="00302F"/>
                      </a:solidFill>
                    </a:endParaRPr>
                  </a:p>
                  <a:p>
                    <a:fld id="{F0BE0915-A431-44B4-8C9E-025EEA44EFFD}" type="PERCENTAGE">
                      <a:rPr lang="en-US">
                        <a:solidFill>
                          <a:srgbClr val="00302F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D3A-4AE1-838E-438C0963F152}"/>
                </c:ext>
              </c:extLst>
            </c:dLbl>
            <c:dLbl>
              <c:idx val="2"/>
              <c:layout>
                <c:manualLayout>
                  <c:x val="-0.15290414629042351"/>
                  <c:y val="0.14100040035825862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D3A-4AE1-838E-438C0963F152}"/>
                </c:ext>
              </c:extLst>
            </c:dLbl>
            <c:dLbl>
              <c:idx val="3"/>
              <c:layout>
                <c:manualLayout>
                  <c:x val="-0.26140252045278184"/>
                  <c:y val="9.458154307153204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3EB77067-93BB-4E80-97CC-84C15DC1872E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/>
                  </a:p>
                  <a:p>
                    <a:pPr>
                      <a:defRPr sz="1000"/>
                    </a:pPr>
                    <a:fld id="{8830D4F6-0328-49F3-823A-DBEB420284D3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D3A-4AE1-838E-438C0963F152}"/>
                </c:ext>
              </c:extLst>
            </c:dLbl>
            <c:dLbl>
              <c:idx val="4"/>
              <c:layout>
                <c:manualLayout>
                  <c:x val="-0.18602598939696061"/>
                  <c:y val="-7.095008729461001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Geothermal Energy</a:t>
                    </a:r>
                  </a:p>
                  <a:p>
                    <a:pPr>
                      <a:defRPr sz="1000"/>
                    </a:pPr>
                    <a:fld id="{FB8B9A9A-FD4B-4028-AA9D-6AAB3F3FE18C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pPr>
                      <a:defRPr sz="1000"/>
                    </a:pPr>
                    <a:r>
                      <a:rPr lang="en-US" sz="1000" b="0"/>
                      <a:t>6.3%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D3A-4AE1-838E-438C0963F152}"/>
                </c:ext>
              </c:extLst>
            </c:dLbl>
            <c:dLbl>
              <c:idx val="5"/>
              <c:layout>
                <c:manualLayout>
                  <c:x val="-0.34569871879505887"/>
                  <c:y val="-9.489728953331431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F-Gases</a:t>
                    </a:r>
                  </a:p>
                  <a:p>
                    <a:pPr>
                      <a:defRPr sz="1000"/>
                    </a:pPr>
                    <a:r>
                      <a:rPr lang="en-US" sz="1000" b="0"/>
                      <a:t>125</a:t>
                    </a:r>
                    <a:r>
                      <a:rPr lang="en-US" sz="1200" b="1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pPr>
                      <a:defRPr sz="1000"/>
                    </a:pPr>
                    <a:r>
                      <a:rPr lang="en-US" sz="1000" b="0"/>
                      <a:t>4.4%</a:t>
                    </a:r>
                    <a:endParaRPr lang="en-US" sz="700" b="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6840849516476"/>
                      <c:h val="0.177682709888848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B-BD3A-4AE1-838E-438C0963F152}"/>
                </c:ext>
              </c:extLst>
            </c:dLbl>
            <c:dLbl>
              <c:idx val="6"/>
              <c:layout>
                <c:manualLayout>
                  <c:x val="-0.3060175562285159"/>
                  <c:y val="-0.2387576374185009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28D125C8-164D-4DBB-95C2-93A6FF948D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</a:p>
                  <a:p>
                    <a:pPr>
                      <a:defRPr sz="1000"/>
                    </a:pPr>
                    <a:fld id="{D3577341-DE71-4811-9E6C-F8EFAD90E1F4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369571604436388"/>
                      <c:h val="0.2274809944477233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BD3A-4AE1-838E-438C0963F152}"/>
                </c:ext>
              </c:extLst>
            </c:dLbl>
            <c:dLbl>
              <c:idx val="7"/>
              <c:layout>
                <c:manualLayout>
                  <c:x val="-5.5951043847589949E-2"/>
                  <c:y val="-0.2346133819051073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7488063E-86A9-4793-A10F-AA777A6FA309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/>
                  </a:p>
                  <a:p>
                    <a:pPr>
                      <a:defRPr sz="1000"/>
                    </a:pPr>
                    <a:fld id="{0854663E-D606-4BF9-953E-9E0444D6879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03432184749011"/>
                      <c:h val="0.14743777593420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BD3A-4AE1-838E-438C0963F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302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Obligations'!$AH$135:$AH$142</c:f>
              <c:strCache>
                <c:ptCount val="8"/>
                <c:pt idx="0">
                  <c:v>Road Transportation</c:v>
                </c:pt>
                <c:pt idx="1">
                  <c:v>Agriculture</c:v>
                </c:pt>
                <c:pt idx="2">
                  <c:v>Fishing</c:v>
                </c:pt>
                <c:pt idx="3">
                  <c:v>Solid Waste Disposal on Land</c:v>
                </c:pt>
                <c:pt idx="4">
                  <c:v>Geothermal Energy</c:v>
                </c:pt>
                <c:pt idx="5">
                  <c:v>F-Gases</c:v>
                </c:pt>
                <c:pt idx="6">
                  <c:v>Off-Road Vehicles and Other Machinery</c:v>
                </c:pt>
                <c:pt idx="7">
                  <c:v>Other Emissions</c:v>
                </c:pt>
              </c:strCache>
            </c:strRef>
          </c:cat>
          <c:val>
            <c:numRef>
              <c:f>'Skuldbindingar | Obligations'!$F$135:$F$142</c:f>
              <c:numCache>
                <c:formatCode>0</c:formatCode>
                <c:ptCount val="8"/>
                <c:pt idx="0">
                  <c:v>898.35428884904547</c:v>
                </c:pt>
                <c:pt idx="1">
                  <c:v>669.59914464131464</c:v>
                </c:pt>
                <c:pt idx="2">
                  <c:v>519.47716734952905</c:v>
                </c:pt>
                <c:pt idx="3">
                  <c:v>203.07062729519799</c:v>
                </c:pt>
                <c:pt idx="4">
                  <c:v>223.69103641446083</c:v>
                </c:pt>
                <c:pt idx="5">
                  <c:v>107.78462088442339</c:v>
                </c:pt>
                <c:pt idx="6">
                  <c:v>76.484306234264068</c:v>
                </c:pt>
                <c:pt idx="7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3A-4AE1-838E-438C0963F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302F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31400966183573E-2"/>
          <c:y val="3.2337962962962964E-2"/>
          <c:w val="0.65214408212560382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Data'!$D$250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F-4841-A76D-DB97A5D1B103}"/>
            </c:ext>
          </c:extLst>
        </c:ser>
        <c:ser>
          <c:idx val="2"/>
          <c:order val="1"/>
          <c:tx>
            <c:strRef>
              <c:f>'Talnagögn | Numerical Data'!$D$252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3F-4841-A76D-DB97A5D1B103}"/>
            </c:ext>
          </c:extLst>
        </c:ser>
        <c:ser>
          <c:idx val="3"/>
          <c:order val="2"/>
          <c:tx>
            <c:strRef>
              <c:f>'Talnagögn | Numerical Data'!$D$253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F-4841-A76D-DB97A5D1B103}"/>
            </c:ext>
          </c:extLst>
        </c:ser>
        <c:ser>
          <c:idx val="1"/>
          <c:order val="3"/>
          <c:tx>
            <c:strRef>
              <c:f>'Talnagögn | Numerical Data'!$D$251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3F-4841-A76D-DB97A5D1B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3343557452029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77632850241549"/>
          <c:y val="0.36273887201871174"/>
          <c:w val="0.21888816425120772"/>
          <c:h val="0.2830418196535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67267312739757E-2"/>
          <c:y val="3.2068608917919739E-2"/>
          <c:w val="0.63703661105785936"/>
          <c:h val="0.8735528093318044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3-464B-82D0-2E33EBEC9773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3-464B-82D0-2E33EBEC9773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3-464B-82D0-2E33EBEC9773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D3-464B-82D0-2E33EBEC9773}"/>
            </c:ext>
          </c:extLst>
        </c:ser>
        <c:ser>
          <c:idx val="7"/>
          <c:order val="4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Data'!$W$281:$AV$281</c:f>
              <c:numCache>
                <c:formatCode>0</c:formatCode>
                <c:ptCount val="26"/>
                <c:pt idx="0">
                  <c:v>737.81954484414587</c:v>
                </c:pt>
                <c:pt idx="1">
                  <c:v>778.35595817764806</c:v>
                </c:pt>
                <c:pt idx="2">
                  <c:v>808.92968953127706</c:v>
                </c:pt>
                <c:pt idx="3">
                  <c:v>784.99126000625063</c:v>
                </c:pt>
                <c:pt idx="4">
                  <c:v>617.34869765662779</c:v>
                </c:pt>
                <c:pt idx="5">
                  <c:v>601.24742587171386</c:v>
                </c:pt>
                <c:pt idx="6">
                  <c:v>602.2588822822388</c:v>
                </c:pt>
                <c:pt idx="7">
                  <c:v>559.72387035580596</c:v>
                </c:pt>
                <c:pt idx="8">
                  <c:v>579.06951819627739</c:v>
                </c:pt>
                <c:pt idx="9">
                  <c:v>597.68427093552282</c:v>
                </c:pt>
                <c:pt idx="10">
                  <c:v>584.14967957432725</c:v>
                </c:pt>
                <c:pt idx="11">
                  <c:v>598.00245812728133</c:v>
                </c:pt>
                <c:pt idx="12">
                  <c:v>540.69465022809766</c:v>
                </c:pt>
                <c:pt idx="13">
                  <c:v>585.58085269901528</c:v>
                </c:pt>
                <c:pt idx="14">
                  <c:v>587.89556794679822</c:v>
                </c:pt>
                <c:pt idx="15">
                  <c:v>545.74493937308239</c:v>
                </c:pt>
                <c:pt idx="16">
                  <c:v>499.39285869907667</c:v>
                </c:pt>
                <c:pt idx="17">
                  <c:v>549.02222916323217</c:v>
                </c:pt>
                <c:pt idx="18">
                  <c:v>510.88369488928851</c:v>
                </c:pt>
                <c:pt idx="19">
                  <c:v>573.36194253906569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D3-464B-82D0-2E33EBEC9773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rgbClr val="00827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3-464B-82D0-2E33EBEC9773}"/>
            </c:ext>
          </c:extLst>
        </c:ser>
        <c:ser>
          <c:idx val="6"/>
          <c:order val="6"/>
          <c:tx>
            <c:v>Land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D3-464B-82D0-2E33EBEC9773}"/>
            </c:ext>
          </c:extLst>
        </c:ser>
        <c:ser>
          <c:idx val="9"/>
          <c:order val="7"/>
          <c:tx>
            <c:v>Fiski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D3-464B-82D0-2E33EBEC9773}"/>
            </c:ext>
          </c:extLst>
        </c:ser>
        <c:ser>
          <c:idx val="11"/>
          <c:order val="8"/>
          <c:tx>
            <c:v>Urðun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D3-464B-82D0-2E33EBEC9773}"/>
            </c:ext>
          </c:extLst>
        </c:ser>
        <c:ser>
          <c:idx val="13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Data'!$W$295:$BU$295</c:f>
              <c:numCache>
                <c:formatCode>0</c:formatCode>
                <c:ptCount val="51"/>
                <c:pt idx="18">
                  <c:v>510.88369488928851</c:v>
                </c:pt>
                <c:pt idx="19">
                  <c:v>573.36194253906569</c:v>
                </c:pt>
                <c:pt idx="20">
                  <c:v>480.19119491965489</c:v>
                </c:pt>
                <c:pt idx="21">
                  <c:v>444.08759293878722</c:v>
                </c:pt>
                <c:pt idx="22">
                  <c:v>448.20694843928527</c:v>
                </c:pt>
                <c:pt idx="23">
                  <c:v>401.7418448779963</c:v>
                </c:pt>
                <c:pt idx="24">
                  <c:v>385.71147458918949</c:v>
                </c:pt>
                <c:pt idx="25">
                  <c:v>376.3766861944502</c:v>
                </c:pt>
                <c:pt idx="26">
                  <c:v>356.97075130153343</c:v>
                </c:pt>
                <c:pt idx="27">
                  <c:v>354.76896027118818</c:v>
                </c:pt>
                <c:pt idx="28">
                  <c:v>362.108957633979</c:v>
                </c:pt>
                <c:pt idx="29">
                  <c:v>352.11881145444306</c:v>
                </c:pt>
                <c:pt idx="30">
                  <c:v>342.46354827477603</c:v>
                </c:pt>
                <c:pt idx="31">
                  <c:v>343.01640099852568</c:v>
                </c:pt>
                <c:pt idx="32">
                  <c:v>343.18795872479848</c:v>
                </c:pt>
                <c:pt idx="33">
                  <c:v>342.75879122907162</c:v>
                </c:pt>
                <c:pt idx="34">
                  <c:v>342.48332926398939</c:v>
                </c:pt>
                <c:pt idx="35">
                  <c:v>341.83539408297224</c:v>
                </c:pt>
                <c:pt idx="36">
                  <c:v>340.71375073654548</c:v>
                </c:pt>
                <c:pt idx="37">
                  <c:v>338.67796790280079</c:v>
                </c:pt>
                <c:pt idx="38">
                  <c:v>336.16596533354067</c:v>
                </c:pt>
                <c:pt idx="39">
                  <c:v>333.11993974346223</c:v>
                </c:pt>
                <c:pt idx="40">
                  <c:v>329.52862818069661</c:v>
                </c:pt>
                <c:pt idx="41">
                  <c:v>325.4638676740982</c:v>
                </c:pt>
                <c:pt idx="42">
                  <c:v>321.01310598171045</c:v>
                </c:pt>
                <c:pt idx="43">
                  <c:v>315.47262109450776</c:v>
                </c:pt>
                <c:pt idx="44">
                  <c:v>309.57842897715153</c:v>
                </c:pt>
                <c:pt idx="45">
                  <c:v>303.22120834792395</c:v>
                </c:pt>
                <c:pt idx="46">
                  <c:v>298.16445911242806</c:v>
                </c:pt>
                <c:pt idx="47">
                  <c:v>291.86671867969181</c:v>
                </c:pt>
                <c:pt idx="48">
                  <c:v>285.67097522900929</c:v>
                </c:pt>
                <c:pt idx="49">
                  <c:v>279.70250232350367</c:v>
                </c:pt>
                <c:pt idx="50">
                  <c:v>271.61660937969003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D3-464B-82D0-2E33EBEC9773}"/>
            </c:ext>
          </c:extLst>
        </c:ser>
        <c:ser>
          <c:idx val="14"/>
          <c:order val="10"/>
          <c:tx>
            <c:v>Annað WAM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D3-464B-82D0-2E33EBEC9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0352651399070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916641429436692"/>
          <c:y val="0.29679814814814814"/>
          <c:w val="0.16914691822591063"/>
          <c:h val="0.41235671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9546306711662E-2"/>
          <c:y val="3.2068601556463468E-2"/>
          <c:w val="0.6319093863267091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2-4328-A50F-7A4CB8842C4F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2-4328-A50F-7A4CB8842C4F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2-4328-A50F-7A4CB8842C4F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32-4328-A50F-7A4CB8842C4F}"/>
            </c:ext>
          </c:extLst>
        </c:ser>
        <c:ser>
          <c:idx val="7"/>
          <c:order val="4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DED9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Data'!$W$281:$AV$281</c:f>
              <c:numCache>
                <c:formatCode>0</c:formatCode>
                <c:ptCount val="26"/>
                <c:pt idx="0">
                  <c:v>737.81954484414587</c:v>
                </c:pt>
                <c:pt idx="1">
                  <c:v>778.35595817764806</c:v>
                </c:pt>
                <c:pt idx="2">
                  <c:v>808.92968953127706</c:v>
                </c:pt>
                <c:pt idx="3">
                  <c:v>784.99126000625063</c:v>
                </c:pt>
                <c:pt idx="4">
                  <c:v>617.34869765662779</c:v>
                </c:pt>
                <c:pt idx="5">
                  <c:v>601.24742587171386</c:v>
                </c:pt>
                <c:pt idx="6">
                  <c:v>602.2588822822388</c:v>
                </c:pt>
                <c:pt idx="7">
                  <c:v>559.72387035580596</c:v>
                </c:pt>
                <c:pt idx="8">
                  <c:v>579.06951819627739</c:v>
                </c:pt>
                <c:pt idx="9">
                  <c:v>597.68427093552282</c:v>
                </c:pt>
                <c:pt idx="10">
                  <c:v>584.14967957432725</c:v>
                </c:pt>
                <c:pt idx="11">
                  <c:v>598.00245812728133</c:v>
                </c:pt>
                <c:pt idx="12">
                  <c:v>540.69465022809766</c:v>
                </c:pt>
                <c:pt idx="13">
                  <c:v>585.58085269901528</c:v>
                </c:pt>
                <c:pt idx="14">
                  <c:v>587.89556794679822</c:v>
                </c:pt>
                <c:pt idx="15">
                  <c:v>545.74493937308239</c:v>
                </c:pt>
                <c:pt idx="16">
                  <c:v>499.39285869907667</c:v>
                </c:pt>
                <c:pt idx="17">
                  <c:v>549.02222916323217</c:v>
                </c:pt>
                <c:pt idx="18">
                  <c:v>510.88369488928851</c:v>
                </c:pt>
                <c:pt idx="19">
                  <c:v>573.36194253906569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32-4328-A50F-7A4CB8842C4F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rgbClr val="00827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32-4328-A50F-7A4CB8842C4F}"/>
            </c:ext>
          </c:extLst>
        </c:ser>
        <c:ser>
          <c:idx val="6"/>
          <c:order val="6"/>
          <c:tx>
            <c:v>Land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32-4328-A50F-7A4CB8842C4F}"/>
            </c:ext>
          </c:extLst>
        </c:ser>
        <c:ser>
          <c:idx val="9"/>
          <c:order val="7"/>
          <c:tx>
            <c:v>Fiski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32-4328-A50F-7A4CB8842C4F}"/>
            </c:ext>
          </c:extLst>
        </c:ser>
        <c:ser>
          <c:idx val="11"/>
          <c:order val="8"/>
          <c:tx>
            <c:v>Urðun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32-4328-A50F-7A4CB8842C4F}"/>
            </c:ext>
          </c:extLst>
        </c:ser>
        <c:ser>
          <c:idx val="13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Data'!$W$295:$BU$295</c:f>
              <c:numCache>
                <c:formatCode>0</c:formatCode>
                <c:ptCount val="51"/>
                <c:pt idx="18">
                  <c:v>510.88369488928851</c:v>
                </c:pt>
                <c:pt idx="19">
                  <c:v>573.36194253906569</c:v>
                </c:pt>
                <c:pt idx="20">
                  <c:v>480.19119491965489</c:v>
                </c:pt>
                <c:pt idx="21">
                  <c:v>444.08759293878722</c:v>
                </c:pt>
                <c:pt idx="22">
                  <c:v>448.20694843928527</c:v>
                </c:pt>
                <c:pt idx="23">
                  <c:v>401.7418448779963</c:v>
                </c:pt>
                <c:pt idx="24">
                  <c:v>385.71147458918949</c:v>
                </c:pt>
                <c:pt idx="25">
                  <c:v>376.3766861944502</c:v>
                </c:pt>
                <c:pt idx="26">
                  <c:v>356.97075130153343</c:v>
                </c:pt>
                <c:pt idx="27">
                  <c:v>354.76896027118818</c:v>
                </c:pt>
                <c:pt idx="28">
                  <c:v>362.108957633979</c:v>
                </c:pt>
                <c:pt idx="29">
                  <c:v>352.11881145444306</c:v>
                </c:pt>
                <c:pt idx="30">
                  <c:v>342.46354827477603</c:v>
                </c:pt>
                <c:pt idx="31">
                  <c:v>343.01640099852568</c:v>
                </c:pt>
                <c:pt idx="32">
                  <c:v>343.18795872479848</c:v>
                </c:pt>
                <c:pt idx="33">
                  <c:v>342.75879122907162</c:v>
                </c:pt>
                <c:pt idx="34">
                  <c:v>342.48332926398939</c:v>
                </c:pt>
                <c:pt idx="35">
                  <c:v>341.83539408297224</c:v>
                </c:pt>
                <c:pt idx="36">
                  <c:v>340.71375073654548</c:v>
                </c:pt>
                <c:pt idx="37">
                  <c:v>338.67796790280079</c:v>
                </c:pt>
                <c:pt idx="38">
                  <c:v>336.16596533354067</c:v>
                </c:pt>
                <c:pt idx="39">
                  <c:v>333.11993974346223</c:v>
                </c:pt>
                <c:pt idx="40">
                  <c:v>329.52862818069661</c:v>
                </c:pt>
                <c:pt idx="41">
                  <c:v>325.4638676740982</c:v>
                </c:pt>
                <c:pt idx="42">
                  <c:v>321.01310598171045</c:v>
                </c:pt>
                <c:pt idx="43">
                  <c:v>315.47262109450776</c:v>
                </c:pt>
                <c:pt idx="44">
                  <c:v>309.57842897715153</c:v>
                </c:pt>
                <c:pt idx="45">
                  <c:v>303.22120834792395</c:v>
                </c:pt>
                <c:pt idx="46">
                  <c:v>298.16445911242806</c:v>
                </c:pt>
                <c:pt idx="47">
                  <c:v>291.86671867969181</c:v>
                </c:pt>
                <c:pt idx="48">
                  <c:v>285.67097522900929</c:v>
                </c:pt>
                <c:pt idx="49">
                  <c:v>279.70250232350367</c:v>
                </c:pt>
                <c:pt idx="50">
                  <c:v>271.61660937969003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32-4328-A50F-7A4CB8842C4F}"/>
            </c:ext>
          </c:extLst>
        </c:ser>
        <c:ser>
          <c:idx val="14"/>
          <c:order val="10"/>
          <c:tx>
            <c:v>Annað WAM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32-4328-A50F-7A4CB8842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078939029272685E-3"/>
              <c:y val="0.22665115740740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576115485564309"/>
          <c:y val="0.32325655386262525"/>
          <c:w val="0.25423882428051026"/>
          <c:h val="0.38580037365732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95114883062496E-2"/>
          <c:y val="3.1310324764494586E-2"/>
          <c:w val="0.63981364687415676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Data'!$E$250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8-4840-A389-3682383AEF2C}"/>
            </c:ext>
          </c:extLst>
        </c:ser>
        <c:ser>
          <c:idx val="1"/>
          <c:order val="1"/>
          <c:tx>
            <c:strRef>
              <c:f>'Talnagögn | Numerical Data'!$E$251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8-4840-A389-3682383AEF2C}"/>
            </c:ext>
          </c:extLst>
        </c:ser>
        <c:ser>
          <c:idx val="2"/>
          <c:order val="2"/>
          <c:tx>
            <c:strRef>
              <c:f>'Talnagögn | Numerical Data'!$E$252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E8-4840-A389-3682383AEF2C}"/>
            </c:ext>
          </c:extLst>
        </c:ser>
        <c:ser>
          <c:idx val="3"/>
          <c:order val="3"/>
          <c:tx>
            <c:strRef>
              <c:f>'Talnagögn | Numerical Data'!$E$253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E8-4840-A389-3682383AE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273948743530679E-3"/>
              <c:y val="0.2460914594754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1751596807721"/>
          <c:y val="0.3396515790646214"/>
          <c:w val="0.13102709905010251"/>
          <c:h val="0.31215743826408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6.1107522806991339E-2"/>
          <c:w val="0.63054377799339656"/>
          <c:h val="0.841589647763356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6-434F-945F-87E0B8834722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6-434F-945F-87E0B8834722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6-434F-945F-87E0B8834722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rgbClr val="9D8E9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F6-434F-945F-87E0B8834722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F6-434F-945F-87E0B8834722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F6-434F-945F-87E0B883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3493794562760436E-4"/>
              <c:y val="0.1873824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68530737897796"/>
          <c:y val="0.36865148445267809"/>
          <c:w val="0.27131469262102204"/>
          <c:h val="0.2370293162582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7992376437230253"/>
          <c:h val="0.79417416501448834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5-4BF4-BB17-19706CAEF579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A5-4BF4-BB17-19706CAEF579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5-4BF4-BB17-19706CAEF579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rgbClr val="9D8E9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A5-4BF4-BB17-19706CAEF579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A5-4BF4-BB17-19706CAEF579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A5-4BF4-BB17-19706CAEF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829574592885842"/>
          <c:y val="0.29918411432641556"/>
          <c:w val="0.30874301436757412"/>
          <c:h val="0.408772729387902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99846846924948"/>
          <c:y val="6.0421296296296306E-2"/>
          <c:w val="0.49759947916666669"/>
          <c:h val="0.88462129629629627"/>
        </c:manualLayout>
      </c:layout>
      <c:doughnutChart>
        <c:varyColors val="1"/>
        <c:ser>
          <c:idx val="0"/>
          <c:order val="0"/>
          <c:tx>
            <c:strRef>
              <c:f>'Skuldbindingar | Obligations'!$A$14</c:f>
              <c:strCache>
                <c:ptCount val="1"/>
                <c:pt idx="0">
                  <c:v>Losun Íslands eftir skuldbindingum 2024</c:v>
                </c:pt>
              </c:strCache>
            </c:strRef>
          </c:tx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C-4AF5-81D0-2DA4E165B442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4C-4AF5-81D0-2DA4E165B442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4C-4AF5-81D0-2DA4E165B442}"/>
              </c:ext>
            </c:extLst>
          </c:dPt>
          <c:dPt>
            <c:idx val="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4C-4AF5-81D0-2DA4E165B44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4C-4AF5-81D0-2DA4E165B442}"/>
              </c:ext>
            </c:extLst>
          </c:dPt>
          <c:dLbls>
            <c:dLbl>
              <c:idx val="0"/>
              <c:layout>
                <c:manualLayout>
                  <c:x val="0.20404613086207843"/>
                  <c:y val="0.1264120370370370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Samfélagslosun</a:t>
                    </a:r>
                    <a:endParaRPr lang="en-US" b="1" baseline="0"/>
                  </a:p>
                  <a:p>
                    <a:fld id="{D01D01A5-F247-4614-A390-387E329597D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DF35B28A-9F72-46E8-9A5F-ED2DC577AD8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207863399015775"/>
                      <c:h val="0.18262361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44C-4AF5-81D0-2DA4E165B4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C-4AF5-81D0-2DA4E165B442}"/>
                </c:ext>
              </c:extLst>
            </c:dLbl>
            <c:dLbl>
              <c:idx val="2"/>
              <c:layout>
                <c:manualLayout>
                  <c:x val="-0.21872570862194018"/>
                  <c:y val="-0.1969675925925925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3D6FE1-CC8B-47BD-9CB0-71169041512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42FCFF1C-CD6C-4214-8309-2499D8BD1294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770D9F9E-9D78-4069-BEDE-045F01E7CE23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44C-4AF5-81D0-2DA4E165B442}"/>
                </c:ext>
              </c:extLst>
            </c:dLbl>
            <c:dLbl>
              <c:idx val="3"/>
              <c:layout>
                <c:manualLayout>
                  <c:x val="0.24246466642971284"/>
                  <c:y val="-0.2028472222222222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ETS</a:t>
                    </a:r>
                    <a:r>
                      <a:rPr lang="en-US" sz="1200" b="1" baseline="0"/>
                      <a:t> staðbundinn iðnaður</a:t>
                    </a:r>
                  </a:p>
                  <a:p>
                    <a:fld id="{798DA6F3-2978-4E64-97F8-567C7B01AB3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51497E4-D70E-4E03-A8DA-34CF93CCDC4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914676399111135"/>
                      <c:h val="0.1905199074074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44C-4AF5-81D0-2DA4E165B442}"/>
                </c:ext>
              </c:extLst>
            </c:dLbl>
            <c:dLbl>
              <c:idx val="4"/>
              <c:layout>
                <c:manualLayout>
                  <c:x val="0.26276444190152548"/>
                  <c:y val="1.175925925925925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Innanlandsflug</a:t>
                    </a:r>
                    <a:r>
                      <a:rPr lang="en-US" sz="1200" b="1" baseline="0"/>
                      <a:t> (CO₂)</a:t>
                    </a:r>
                    <a:endParaRPr lang="en-US" b="1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E2F1984-72A8-4054-8AFA-3EA64DE3FA43}" type="VALU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B0F4466-42A8-47AD-9C37-FBA65DBF9B80}" type="PERCENTAG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44C-4AF5-81D0-2DA4E165B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Obligations'!$E$8:$E$12</c:f>
              <c:strCache>
                <c:ptCount val="5"/>
                <c:pt idx="0">
                  <c:v>     Samkvæmt losunarbókhaldi</c:v>
                </c:pt>
                <c:pt idx="1">
                  <c:v>     Samkvæmt JCD 29/2022*</c:v>
                </c:pt>
                <c:pt idx="2">
                  <c:v>Landnotkun</c:v>
                </c:pt>
                <c:pt idx="3">
                  <c:v>ETS** staðbundinn iðnaður</c:v>
                </c:pt>
                <c:pt idx="4">
                  <c:v>Innanlandsflug (CO₂)***</c:v>
                </c:pt>
              </c:strCache>
            </c:strRef>
          </c:cat>
          <c:val>
            <c:numRef>
              <c:f>'Skuldbindingar | Obligations'!$F$8:$F$12</c:f>
              <c:numCache>
                <c:formatCode>0</c:formatCode>
                <c:ptCount val="5"/>
                <c:pt idx="0">
                  <c:v>2863.861664527436</c:v>
                </c:pt>
                <c:pt idx="1">
                  <c:v>0</c:v>
                </c:pt>
                <c:pt idx="2">
                  <c:v>6268.7228611357514</c:v>
                </c:pt>
                <c:pt idx="3">
                  <c:v>1889.154</c:v>
                </c:pt>
                <c:pt idx="4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4C-4AF5-81D0-2DA4E165B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99846846924948"/>
          <c:y val="6.0421296296296306E-2"/>
          <c:w val="0.49759947916666669"/>
          <c:h val="0.88462129629629627"/>
        </c:manualLayout>
      </c:layout>
      <c:doughnutChart>
        <c:varyColors val="1"/>
        <c:ser>
          <c:idx val="0"/>
          <c:order val="0"/>
          <c:tx>
            <c:strRef>
              <c:f>'Skuldbindingar | Obligations'!$A$14</c:f>
              <c:strCache>
                <c:ptCount val="1"/>
                <c:pt idx="0">
                  <c:v>Losun Íslands eftir skuldbindingum 2024</c:v>
                </c:pt>
              </c:strCache>
            </c:strRef>
          </c:tx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1-4A7F-9518-E43ED2BB969E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1-4A7F-9518-E43ED2BB969E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1-4A7F-9518-E43ED2BB969E}"/>
              </c:ext>
            </c:extLst>
          </c:dPt>
          <c:dPt>
            <c:idx val="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61-4A7F-9518-E43ED2BB969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61-4A7F-9518-E43ED2BB969E}"/>
              </c:ext>
            </c:extLst>
          </c:dPt>
          <c:dLbls>
            <c:dLbl>
              <c:idx val="0"/>
              <c:layout>
                <c:manualLayout>
                  <c:x val="0.20404613086207843"/>
                  <c:y val="0.1264120370370370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Samfélagslosun</a:t>
                    </a:r>
                    <a:endParaRPr lang="en-US" b="1" baseline="0"/>
                  </a:p>
                  <a:p>
                    <a:fld id="{D01D01A5-F247-4614-A390-387E329597D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DF35B28A-9F72-46E8-9A5F-ED2DC577AD8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207863399015775"/>
                      <c:h val="0.18262361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361-4A7F-9518-E43ED2BB96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1-4A7F-9518-E43ED2BB969E}"/>
                </c:ext>
              </c:extLst>
            </c:dLbl>
            <c:dLbl>
              <c:idx val="2"/>
              <c:layout>
                <c:manualLayout>
                  <c:x val="-0.21872570862194018"/>
                  <c:y val="-0.1969675925925925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3D6FE1-CC8B-47BD-9CB0-71169041512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42FCFF1C-CD6C-4214-8309-2499D8BD1294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770D9F9E-9D78-4069-BEDE-045F01E7CE23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361-4A7F-9518-E43ED2BB969E}"/>
                </c:ext>
              </c:extLst>
            </c:dLbl>
            <c:dLbl>
              <c:idx val="3"/>
              <c:layout>
                <c:manualLayout>
                  <c:x val="0.24246466642971284"/>
                  <c:y val="-0.2028472222222222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ETS</a:t>
                    </a:r>
                    <a:r>
                      <a:rPr lang="en-US" sz="1200" b="1" baseline="0"/>
                      <a:t> staðbundinn iðnaður</a:t>
                    </a:r>
                  </a:p>
                  <a:p>
                    <a:fld id="{798DA6F3-2978-4E64-97F8-567C7B01AB3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51497E4-D70E-4E03-A8DA-34CF93CCDC4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914676399111135"/>
                      <c:h val="0.1905199074074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361-4A7F-9518-E43ED2BB969E}"/>
                </c:ext>
              </c:extLst>
            </c:dLbl>
            <c:dLbl>
              <c:idx val="4"/>
              <c:layout>
                <c:manualLayout>
                  <c:x val="0.26276444190152548"/>
                  <c:y val="1.175925925925925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Innanlandsflug</a:t>
                    </a:r>
                    <a:r>
                      <a:rPr lang="en-US" sz="1200" b="1" baseline="0"/>
                      <a:t> (CO₂)</a:t>
                    </a:r>
                    <a:endParaRPr lang="en-US" b="1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E2F1984-72A8-4054-8AFA-3EA64DE3FA43}" type="VALU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B0F4466-42A8-47AD-9C37-FBA65DBF9B80}" type="PERCENTAG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361-4A7F-9518-E43ED2BB9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Obligations'!$E$8:$E$12</c:f>
              <c:strCache>
                <c:ptCount val="5"/>
                <c:pt idx="0">
                  <c:v>     Samkvæmt losunarbókhaldi</c:v>
                </c:pt>
                <c:pt idx="1">
                  <c:v>     Samkvæmt JCD 29/2022*</c:v>
                </c:pt>
                <c:pt idx="2">
                  <c:v>Landnotkun</c:v>
                </c:pt>
                <c:pt idx="3">
                  <c:v>ETS** staðbundinn iðnaður</c:v>
                </c:pt>
                <c:pt idx="4">
                  <c:v>Innanlandsflug (CO₂)***</c:v>
                </c:pt>
              </c:strCache>
            </c:strRef>
          </c:cat>
          <c:val>
            <c:numRef>
              <c:f>'Skuldbindingar | Obligations'!$F$8:$F$12</c:f>
              <c:numCache>
                <c:formatCode>0</c:formatCode>
                <c:ptCount val="5"/>
                <c:pt idx="0">
                  <c:v>2863.861664527436</c:v>
                </c:pt>
                <c:pt idx="1">
                  <c:v>0</c:v>
                </c:pt>
                <c:pt idx="2">
                  <c:v>6268.7228611357514</c:v>
                </c:pt>
                <c:pt idx="3">
                  <c:v>1889.154</c:v>
                </c:pt>
                <c:pt idx="4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61-4A7F-9518-E43ED2BB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2840628998973957"/>
          <c:h val="0.8818801153092336"/>
        </c:manualLayout>
      </c:layout>
      <c:areaChart>
        <c:grouping val="stacked"/>
        <c:varyColors val="0"/>
        <c:ser>
          <c:idx val="3"/>
          <c:order val="3"/>
          <c:tx>
            <c:v>Heildarlosun samfélagslosunar</c:v>
          </c:tx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Data'!$W$280:$AV$280</c15:sqref>
                  </c15:fullRef>
                </c:ext>
              </c:extLst>
              <c:f>'Talnagögn | Numerical Data'!$W$280:$AP$280</c:f>
              <c:numCache>
                <c:formatCode>0</c:formatCode>
                <c:ptCount val="20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A-4B36-AAAB-5051016F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areaChar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A-4B36-AAAB-5051016F3C3B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A-4B36-AAAB-5051016F3C3B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3A-4B36-AAAB-5051016F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date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0"/>
        <c:lblOffset val="100"/>
        <c:baseTimeUnit val="days"/>
      </c:date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3358446409425748"/>
          <c:y val="0.34890698524137798"/>
          <c:w val="0.26641553590574241"/>
          <c:h val="0.30122167538627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415404589371980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3-49FA-A318-9CDFD237635D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3-49FA-A318-9CDFD237635D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3-49FA-A318-9CDFD237635D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3-49FA-A318-9CDFD237635D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03-49FA-A318-9CDFD237635D}"/>
            </c:ext>
          </c:extLst>
        </c:ser>
        <c:ser>
          <c:idx val="7"/>
          <c:order val="5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3-49FA-A318-9CDFD237635D}"/>
            </c:ext>
          </c:extLst>
        </c:ser>
        <c:ser>
          <c:idx val="4"/>
          <c:order val="6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03-49FA-A318-9CDFD237635D}"/>
            </c:ext>
          </c:extLst>
        </c:ser>
        <c:ser>
          <c:idx val="6"/>
          <c:order val="7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03-49FA-A318-9CDFD237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19716338063758809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7-4567-83E1-BACD88ACD17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37-4567-83E1-BACD88ACD17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37-4567-83E1-BACD88ACD170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7-4567-83E1-BACD88ACD170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37-4567-83E1-BACD88ACD170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A9EA2292-6204-4278-A742-C0DC2D3ED94D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37-4567-83E1-BACD88ACD170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37-4567-83E1-BACD88ACD170}"/>
                </c:ext>
              </c:extLst>
            </c:dLbl>
            <c:dLbl>
              <c:idx val="2"/>
              <c:layout>
                <c:manualLayout>
                  <c:x val="-0.23037482829562242"/>
                  <c:y val="-0.2021098943525004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37-4567-83E1-BACD88ACD170}"/>
                </c:ext>
              </c:extLst>
            </c:dLbl>
            <c:dLbl>
              <c:idx val="3"/>
              <c:layout>
                <c:manualLayout>
                  <c:x val="0.20126726928619496"/>
                  <c:y val="-5.060426829452015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2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37-4567-83E1-BACD88ACD170}"/>
                </c:ext>
              </c:extLst>
            </c:dLbl>
            <c:dLbl>
              <c:idx val="4"/>
              <c:layout>
                <c:manualLayout>
                  <c:x val="-0.16299095227910249"/>
                  <c:y val="0.177964284917463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37-4567-83E1-BACD88ACD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Emissions'!$E$9:$E$13</c:f>
              <c:strCache>
                <c:ptCount val="5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Landnotkun</c:v>
                </c:pt>
                <c:pt idx="4">
                  <c:v>Úrgangur</c:v>
                </c:pt>
              </c:strCache>
            </c:strRef>
          </c:cat>
          <c:val>
            <c:numRef>
              <c:f>'Losun | Emissions'!$F$9:$F$13</c:f>
              <c:numCache>
                <c:formatCode>0</c:formatCode>
                <c:ptCount val="5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6268.7228611357514</c:v>
                </c:pt>
                <c:pt idx="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37-4567-83E1-BACD88AC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67317708333333"/>
          <c:y val="0.1739597222222222"/>
          <c:w val="0.40123697916666667"/>
          <c:h val="0.713310185185185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3-4C32-B9E9-92667C12606D}"/>
              </c:ext>
            </c:extLst>
          </c:dPt>
          <c:dPt>
            <c:idx val="1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3-4C32-B9E9-92667C12606D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3-4C32-B9E9-92667C12606D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3-4C32-B9E9-92667C12606D}"/>
              </c:ext>
            </c:extLst>
          </c:dPt>
          <c:dPt>
            <c:idx val="4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3-4C32-B9E9-92667C12606D}"/>
              </c:ext>
            </c:extLst>
          </c:dPt>
          <c:dPt>
            <c:idx val="5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C3-4C32-B9E9-92667C12606D}"/>
              </c:ext>
            </c:extLst>
          </c:dPt>
          <c:dPt>
            <c:idx val="6"/>
            <c:bubble3D val="0"/>
            <c:spPr>
              <a:solidFill>
                <a:srgbClr val="FFDDD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C3-4C32-B9E9-92667C12606D}"/>
              </c:ext>
            </c:extLst>
          </c:dPt>
          <c:dPt>
            <c:idx val="7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FC3-4C32-B9E9-92667C12606D}"/>
              </c:ext>
            </c:extLst>
          </c:dPt>
          <c:dLbls>
            <c:dLbl>
              <c:idx val="0"/>
              <c:layout>
                <c:manualLayout>
                  <c:x val="0.17662864767774772"/>
                  <c:y val="-0.14218564814814816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69817708333333"/>
                      <c:h val="0.161357175925925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C3-4C32-B9E9-92667C12606D}"/>
                </c:ext>
              </c:extLst>
            </c:dLbl>
            <c:dLbl>
              <c:idx val="1"/>
              <c:layout>
                <c:manualLayout>
                  <c:x val="0.16727110432372966"/>
                  <c:y val="0.1162874999999998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D76421-6174-4AB1-A4A1-A21B75BB8144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/>
                      <a:t>
</a:t>
                    </a:r>
                    <a:fld id="{534EDE46-27D7-4686-85FD-08EF849D8586}" type="VALU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34A9B3C-4506-4DEE-B3D3-DBB55EEA4E70}" type="PERCENTAG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4"/>
                      <c:h val="0.186959490740740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C3-4C32-B9E9-92667C12606D}"/>
                </c:ext>
              </c:extLst>
            </c:dLbl>
            <c:dLbl>
              <c:idx val="2"/>
              <c:layout>
                <c:manualLayout>
                  <c:x val="-0.23586055334940256"/>
                  <c:y val="0.24971631944444433"/>
                </c:manualLayout>
              </c:layout>
              <c:tx>
                <c:rich>
                  <a:bodyPr/>
                  <a:lstStyle/>
                  <a:p>
                    <a:fld id="{576C3055-7A14-4B3A-841D-178F58253F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C6D3B06-7177-423D-AFAE-D37BD904C0F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3F10CDF9-DE9A-4212-B42D-37F42E55E5C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542356770833334"/>
                      <c:h val="0.174147685185185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FC3-4C32-B9E9-92667C12606D}"/>
                </c:ext>
              </c:extLst>
            </c:dLbl>
            <c:dLbl>
              <c:idx val="3"/>
              <c:layout>
                <c:manualLayout>
                  <c:x val="-0.22312157566825352"/>
                  <c:y val="0.1451261574074073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494622395833333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FC3-4C32-B9E9-92667C12606D}"/>
                </c:ext>
              </c:extLst>
            </c:dLbl>
            <c:dLbl>
              <c:idx val="4"/>
              <c:layout>
                <c:manualLayout>
                  <c:x val="-0.3324910071005866"/>
                  <c:y val="7.6788194444443909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96200387277014"/>
                      <c:h val="0.205523611111111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C3-4C32-B9E9-92667C12606D}"/>
                </c:ext>
              </c:extLst>
            </c:dLbl>
            <c:dLbl>
              <c:idx val="5"/>
              <c:layout>
                <c:manualLayout>
                  <c:x val="-0.26781217699926108"/>
                  <c:y val="-0.1329133101851852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3789062499998"/>
                      <c:h val="0.1545041666666666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FC3-4C32-B9E9-92667C12606D}"/>
                </c:ext>
              </c:extLst>
            </c:dLbl>
            <c:dLbl>
              <c:idx val="6"/>
              <c:layout>
                <c:manualLayout>
                  <c:x val="-0.36390912783418267"/>
                  <c:y val="-0.359692013888888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32526041666667"/>
                      <c:h val="0.156691203703703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FC3-4C32-B9E9-92667C12606D}"/>
                </c:ext>
              </c:extLst>
            </c:dLbl>
            <c:dLbl>
              <c:idx val="7"/>
              <c:layout>
                <c:manualLayout>
                  <c:x val="-0.12757641710084822"/>
                  <c:y val="-0.2903689814814814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911796875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FC3-4C32-B9E9-92667C12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Emissions'!$E$248:$E$255</c:f>
              <c:strCache>
                <c:ptCount val="8"/>
                <c:pt idx="0">
                  <c:v>Vegasamgöngur</c:v>
                </c:pt>
                <c:pt idx="1">
                  <c:v>Fiskiskip</c:v>
                </c:pt>
                <c:pt idx="2">
                  <c:v>Jarðvarmavirkjanir</c:v>
                </c:pt>
                <c:pt idx="3">
                  <c:v>Vélar og tæki</c:v>
                </c:pt>
                <c:pt idx="4">
                  <c:v>Eldsneytisbruni vegna staðbundins iðnaðar</c:v>
                </c:pt>
                <c:pt idx="5">
                  <c:v>Innanlandsflug</c:v>
                </c:pt>
                <c:pt idx="6">
                  <c:v>Strandsiglingar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898.35428884904547</c:v>
                </c:pt>
                <c:pt idx="1">
                  <c:v>519.47716734952905</c:v>
                </c:pt>
                <c:pt idx="2">
                  <c:v>223.69103641446083</c:v>
                </c:pt>
                <c:pt idx="3">
                  <c:v>76.484306234264068</c:v>
                </c:pt>
                <c:pt idx="4">
                  <c:v>79.187330431701042</c:v>
                </c:pt>
                <c:pt idx="5">
                  <c:v>20.498994139466671</c:v>
                </c:pt>
                <c:pt idx="6">
                  <c:v>13.457077051192861</c:v>
                </c:pt>
                <c:pt idx="7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C3-4C32-B9E9-92667C12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9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600452193196188"/>
          <c:y val="0.10037869575950685"/>
          <c:w val="0.46487433487944474"/>
          <c:h val="0.81089760944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C-4E77-B534-A7F5B642BF92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1C-4E77-B534-A7F5B642BF92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1C-4E77-B534-A7F5B642BF92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C-4E77-B534-A7F5B642BF92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1C-4E77-B534-A7F5B642BF92}"/>
                </c:ext>
              </c:extLst>
            </c:dLbl>
            <c:dLbl>
              <c:idx val="1"/>
              <c:layout>
                <c:manualLayout>
                  <c:x val="-0.24776510162855331"/>
                  <c:y val="0.1021787446027543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B1C-4E77-B534-A7F5B642BF92}"/>
                </c:ext>
              </c:extLst>
            </c:dLbl>
            <c:dLbl>
              <c:idx val="2"/>
              <c:layout>
                <c:manualLayout>
                  <c:x val="-0.25582399498671532"/>
                  <c:y val="-1.1997720778813035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1C-4E77-B534-A7F5B642BF92}"/>
                </c:ext>
              </c:extLst>
            </c:dLbl>
            <c:dLbl>
              <c:idx val="3"/>
              <c:layout>
                <c:manualLayout>
                  <c:x val="-0.26960084777497278"/>
                  <c:y val="-0.27628480491544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B1C-4E77-B534-A7F5B642B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Emissions'!$E$341:$E$344</c:f>
              <c:strCache>
                <c:ptCount val="4"/>
                <c:pt idx="0">
                  <c:v>Álframleiðsla</c:v>
                </c:pt>
                <c:pt idx="1">
                  <c:v>Kísil- og kísilmálmframleiðsla</c:v>
                </c:pt>
                <c:pt idx="2">
                  <c:v>F-gös (m.a. kælimiðlar)</c:v>
                </c:pt>
                <c:pt idx="3">
                  <c:v>Önnur losun</c:v>
                </c:pt>
              </c:strCache>
            </c:strRef>
          </c:cat>
          <c:val>
            <c:numRef>
              <c:f>'Losun | Emissions'!$F$341:$F$344</c:f>
              <c:numCache>
                <c:formatCode>0</c:formatCode>
                <c:ptCount val="4"/>
                <c:pt idx="0">
                  <c:v>1360.4102725798757</c:v>
                </c:pt>
                <c:pt idx="1">
                  <c:v>527.31915978550001</c:v>
                </c:pt>
                <c:pt idx="2">
                  <c:v>107.78462088442339</c:v>
                </c:pt>
                <c:pt idx="3">
                  <c:v>11.079378686252676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1C-4E77-B534-A7F5B64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00489448654694E-2"/>
          <c:y val="3.2025917839422005E-2"/>
          <c:w val="0.70583601631462389"/>
          <c:h val="0.88203733437992593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2-4D45-A768-B54BC7ED720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2-4D45-A768-B54BC7ED720B}"/>
            </c:ext>
          </c:extLst>
        </c:ser>
        <c:ser>
          <c:idx val="1"/>
          <c:order val="2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2-4D45-A768-B54BC7ED720B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2-4D45-A768-B54BC7ED720B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2-4D45-A768-B54BC7ED7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1.098429232151613E-3"/>
              <c:y val="0.23185297329813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79681320677145"/>
          <c:y val="0.31390809730743874"/>
          <c:w val="0.1120797702014074"/>
          <c:h val="0.3750952524614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00081621650708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F-4CBA-A232-2108802DC15A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F-4CBA-A232-2108802DC15A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F-4CBA-A232-2108802DC15A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F-4CBA-A232-2108802DC15A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F-4CBA-A232-2108802DC15A}"/>
            </c:ext>
          </c:extLst>
        </c:ser>
        <c:ser>
          <c:idx val="4"/>
          <c:order val="5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F-4CBA-A232-2108802DC15A}"/>
            </c:ext>
          </c:extLst>
        </c:ser>
        <c:ser>
          <c:idx val="6"/>
          <c:order val="6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rgbClr val="0E547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F-4CBA-A232-2108802DC15A}"/>
            </c:ext>
          </c:extLst>
        </c:ser>
        <c:ser>
          <c:idx val="7"/>
          <c:order val="7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DED9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F-4CBA-A232-2108802D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196079545654559"/>
          <c:y val="0.20943597367115019"/>
          <c:w val="0.17979959697109749"/>
          <c:h val="0.58404338007192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17234923346272E-2"/>
          <c:y val="3.1799759396237068E-2"/>
          <c:w val="0.64639281300644535"/>
          <c:h val="0.882870355089725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B-4684-A2C6-6E74104E58FD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B-4684-A2C6-6E74104E58FD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B-4684-A2C6-6E74104E58FD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B-4684-A2C6-6E74104E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4.4797748763967968E-4"/>
              <c:y val="0.228837021412357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2544930830597"/>
          <c:y val="0.34292682982348516"/>
          <c:w val="0.108014020414626"/>
          <c:h val="0.3054734510705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95114734299517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Data'!$H$62:$AV$62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D-4EE2-BEC3-A5FE5E4EAF50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Data'!$H$78:$BU$78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EE2-BEC3-A5FE5E4E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17016478935249"/>
          <c:y val="0.41944378038090685"/>
          <c:w val="0.21421455977525064"/>
          <c:h val="0.1670981517158620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4.8859722222222214E-2"/>
          <c:w val="0.58449818840579715"/>
          <c:h val="0.864366203703703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402-AB82-BD6126F511AD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402-AB82-BD6126F511AD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E-4402-AB82-BD6126F511AD}"/>
            </c:ext>
          </c:extLst>
        </c:ser>
        <c:ser>
          <c:idx val="4"/>
          <c:order val="3"/>
          <c:tx>
            <c:strRef>
              <c:f>'Talnagögn | Numerical Data'!$D$53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E-4402-AB82-BD6126F511AD}"/>
            </c:ext>
          </c:extLst>
        </c:ser>
        <c:ser>
          <c:idx val="5"/>
          <c:order val="4"/>
          <c:tx>
            <c:strRef>
              <c:f>'Talnagögn | Numerical Data'!$D$57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6E-4402-AB82-BD6126F511AD}"/>
            </c:ext>
          </c:extLst>
        </c:ser>
        <c:ser>
          <c:idx val="2"/>
          <c:order val="5"/>
          <c:tx>
            <c:strRef>
              <c:f>'Talnagögn | Numerical Data'!$D$51</c:f>
              <c:strCache>
                <c:ptCount val="1"/>
                <c:pt idx="0">
                  <c:v>Innanlandsflug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6E-4402-AB82-BD6126F511AD}"/>
            </c:ext>
          </c:extLst>
        </c:ser>
        <c:ser>
          <c:idx val="3"/>
          <c:order val="6"/>
          <c:tx>
            <c:strRef>
              <c:f>'Talnagögn | Numerical Data'!$D$52</c:f>
              <c:strCache>
                <c:ptCount val="1"/>
                <c:pt idx="0">
                  <c:v>Strandsiglingar</c:v>
                </c:pt>
              </c:strCache>
            </c:strRef>
          </c:tx>
          <c:spPr>
            <a:solidFill>
              <a:srgbClr val="FFDDD8"/>
            </a:solidFill>
            <a:ln>
              <a:solidFill>
                <a:schemeClr val="accent3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6E-4402-AB82-BD6126F511AD}"/>
            </c:ext>
          </c:extLst>
        </c:ser>
        <c:ser>
          <c:idx val="7"/>
          <c:order val="7"/>
          <c:tx>
            <c:strRef>
              <c:f>'Talnagögn | Numerical Data'!$D$61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6E-4402-AB82-BD6126F51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29951690821256"/>
          <c:y val="0.17838148148148147"/>
          <c:w val="0.31170048309178744"/>
          <c:h val="0.63441759259259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63821833375532344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A-4FF6-91EA-64EE6D6AA711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A-4FF6-91EA-64EE6D6AA711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A-4FF6-91EA-64EE6D6AA711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Data'!$H$87:$AO$87</c15:sqref>
                  </c15:fullRef>
                </c:ext>
              </c:extLst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A-4FF6-91EA-64EE6D6AA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747159095582"/>
          <c:y val="0.35976944444444448"/>
          <c:w val="0.22739268703176971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81-4886-AD98-34F7DB5D61DB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81-4886-AD98-34F7DB5D61DB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81-4886-AD98-34F7DB5D61DB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81-4886-AD98-34F7DB5D61DB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81-4886-AD98-34F7DB5D61DB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 baseline="0"/>
                      <a:t>
</a:t>
                    </a:r>
                    <a:fld id="{A9EA2292-6204-4278-A742-C0DC2D3ED94D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881-4886-AD98-34F7DB5D61DB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/>
                      <a:t>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881-4886-AD98-34F7DB5D61DB}"/>
                </c:ext>
              </c:extLst>
            </c:dLbl>
            <c:dLbl>
              <c:idx val="2"/>
              <c:layout>
                <c:manualLayout>
                  <c:x val="-0.20763351709731526"/>
                  <c:y val="-0.163955969979064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CO₂e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881-4886-AD98-34F7DB5D61DB}"/>
                </c:ext>
              </c:extLst>
            </c:dLbl>
            <c:dLbl>
              <c:idx val="3"/>
              <c:layout>
                <c:manualLayout>
                  <c:x val="0.20126726928619496"/>
                  <c:y val="-5.060426829452015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2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881-4886-AD98-34F7DB5D61DB}"/>
                </c:ext>
              </c:extLst>
            </c:dLbl>
            <c:dLbl>
              <c:idx val="4"/>
              <c:layout>
                <c:manualLayout>
                  <c:x val="-0.16623968038318002"/>
                  <c:y val="0.149000123013661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/>
                      <a:t>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881-4886-AD98-34F7DB5D6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Emissions'!$AG$9:$AG$13</c:f>
              <c:strCache>
                <c:ptCount val="5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Land use, Land-Use Change and Forestry</c:v>
                </c:pt>
                <c:pt idx="4">
                  <c:v>Waste</c:v>
                </c:pt>
              </c:strCache>
            </c:strRef>
          </c:cat>
          <c:val>
            <c:numRef>
              <c:f>'Losun | Emissions'!$F$9:$F$13</c:f>
              <c:numCache>
                <c:formatCode>0</c:formatCode>
                <c:ptCount val="5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6268.7228611357514</c:v>
                </c:pt>
                <c:pt idx="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81-4886-AD98-34F7DB5D6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/>
              <a:t>Excl.</a:t>
            </a:r>
            <a:r>
              <a:rPr lang="is-IS" sz="1200" baseline="0"/>
              <a:t> LULUCF</a:t>
            </a:r>
            <a:endParaRPr lang="is-IS" sz="1200"/>
          </a:p>
        </c:rich>
      </c:tx>
      <c:layout>
        <c:manualLayout>
          <c:xMode val="edge"/>
          <c:yMode val="edge"/>
          <c:x val="0.42989024999955422"/>
          <c:y val="0.5450385775760541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C-43E8-851D-371108A4A8BC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3C-43E8-851D-371108A4A8BC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3C-43E8-851D-371108A4A8BC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C-43E8-851D-371108A4A8BC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F3C-43E8-851D-371108A4A8BC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2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 b="0"/>
                      <a:t>42%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F3C-43E8-851D-371108A4A8BC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F3C-43E8-851D-371108A4A8BC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F3C-43E8-851D-371108A4A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Emissions'!$AG$21:$AG$24</c:f>
              <c:strCache>
                <c:ptCount val="4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'Losun | Emissions'!$F$21:$F$24</c:f>
              <c:numCache>
                <c:formatCode>0</c:formatCode>
                <c:ptCount val="4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3C-43E8-851D-371108A4A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688840537762122E-2"/>
          <c:w val="0.64247394439772698"/>
          <c:h val="0.88327890807105924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99F-A06E-7DC33D607B13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F-499F-A06E-7DC33D607B13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F-499F-A06E-7DC33D607B13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F-499F-A06E-7DC33D607B13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F-499F-A06E-7DC33D60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3.7186073606096316E-4"/>
              <c:y val="0.2346657429445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055220039245"/>
          <c:y val="0.31298593714131723"/>
          <c:w val="0.12733022449863671"/>
          <c:h val="0.3740281257173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487664814371541E-2"/>
          <c:w val="0.6440920673750733"/>
          <c:h val="0.88401990867901015"/>
        </c:manualLayout>
      </c:layout>
      <c:lineChart>
        <c:grouping val="standard"/>
        <c:varyColors val="0"/>
        <c:ser>
          <c:idx val="1"/>
          <c:order val="0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B-4912-925C-4AF53F0BA1A7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B-4912-925C-4AF53F0BA1A7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B-4912-925C-4AF53F0BA1A7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B-4912-925C-4AF53F0B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3.7186073606096316E-4"/>
              <c:y val="0.233870174187506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6374130418162"/>
          <c:y val="0.35305606156706243"/>
          <c:w val="0.12733022449863671"/>
          <c:h val="0.3110629667646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baseline="0"/>
              <a:t>án losunar frá</a:t>
            </a:r>
          </a:p>
          <a:p>
            <a:pPr>
              <a:defRPr/>
            </a:pPr>
            <a:r>
              <a:rPr lang="is-IS" sz="1200" b="0" baseline="0"/>
              <a:t>landnotkun</a:t>
            </a:r>
            <a:endParaRPr lang="is-IS" sz="1200" b="0"/>
          </a:p>
        </c:rich>
      </c:tx>
      <c:layout>
        <c:manualLayout>
          <c:xMode val="edge"/>
          <c:yMode val="edge"/>
          <c:x val="0.53995237198546964"/>
          <c:y val="0.5396108950128717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8060039768099213"/>
          <c:y val="0.13654100573750552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1-4020-91D2-3FE893339C6A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11-4020-91D2-3FE893339C6A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11-4020-91D2-3FE893339C6A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1-4020-91D2-3FE893339C6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11-4020-91D2-3FE893339C6A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411-4020-91D2-3FE893339C6A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411-4020-91D2-3FE893339C6A}"/>
              </c:ext>
            </c:extLst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411-4020-91D2-3FE893339C6A}"/>
              </c:ext>
            </c:extLst>
          </c:dPt>
          <c:dLbls>
            <c:dLbl>
              <c:idx val="0"/>
              <c:layout>
                <c:manualLayout>
                  <c:x val="0.21339652491269787"/>
                  <c:y val="-0.1850414099561446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765985460117876"/>
                      <c:h val="0.170556629962605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411-4020-91D2-3FE893339C6A}"/>
                </c:ext>
              </c:extLst>
            </c:dLbl>
            <c:dLbl>
              <c:idx val="1"/>
              <c:layout>
                <c:manualLayout>
                  <c:x val="0.17710509313204451"/>
                  <c:y val="0.112164406645607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411-4020-91D2-3FE893339C6A}"/>
                </c:ext>
              </c:extLst>
            </c:dLbl>
            <c:dLbl>
              <c:idx val="2"/>
              <c:layout>
                <c:manualLayout>
                  <c:x val="-0.16348961293616587"/>
                  <c:y val="0.135017118724375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132101768487149"/>
                      <c:h val="0.151500924999521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411-4020-91D2-3FE893339C6A}"/>
                </c:ext>
              </c:extLst>
            </c:dLbl>
            <c:dLbl>
              <c:idx val="3"/>
              <c:layout>
                <c:manualLayout>
                  <c:x val="-0.192377529522923"/>
                  <c:y val="4.86852047808052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2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26057047496488"/>
                      <c:h val="0.15285885150638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411-4020-91D2-3FE893339C6A}"/>
                </c:ext>
              </c:extLst>
            </c:dLbl>
            <c:dLbl>
              <c:idx val="4"/>
              <c:layout>
                <c:manualLayout>
                  <c:x val="-0.24965614799746447"/>
                  <c:y val="3.0805262639680385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521273513253661"/>
                      <c:h val="0.176733983422089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411-4020-91D2-3FE893339C6A}"/>
                </c:ext>
              </c:extLst>
            </c:dLbl>
            <c:dLbl>
              <c:idx val="5"/>
              <c:layout>
                <c:manualLayout>
                  <c:x val="-0.18888321704498234"/>
                  <c:y val="-7.4836531151488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411-4020-91D2-3FE893339C6A}"/>
                </c:ext>
              </c:extLst>
            </c:dLbl>
            <c:dLbl>
              <c:idx val="6"/>
              <c:layout>
                <c:manualLayout>
                  <c:x val="-0.29533877915171552"/>
                  <c:y val="-0.2456682513370007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411-4020-91D2-3FE893339C6A}"/>
                </c:ext>
              </c:extLst>
            </c:dLbl>
            <c:dLbl>
              <c:idx val="7"/>
              <c:layout>
                <c:manualLayout>
                  <c:x val="-0.11259438594330469"/>
                  <c:y val="-0.189464067521390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EAD98EE4-4514-4DE2-97CA-A23A9814B150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pPr>
                      <a:defRPr sz="1000"/>
                    </a:pPr>
                    <a:fld id="{0E7E8CEF-C8A2-41DF-9753-C977B591FE4C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411-4020-91D2-3FE893339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Emissions'!$E$148:$E$155</c:f>
              <c:strCache>
                <c:ptCount val="8"/>
                <c:pt idx="0">
                  <c:v>Álframleiðsla</c:v>
                </c:pt>
                <c:pt idx="1">
                  <c:v>Vegasamgöngur</c:v>
                </c:pt>
                <c:pt idx="2">
                  <c:v>Landbúnaður</c:v>
                </c:pt>
                <c:pt idx="3">
                  <c:v>Fiskiskip</c:v>
                </c:pt>
                <c:pt idx="4">
                  <c:v>Kísil- og kísilmálmframleiðsla</c:v>
                </c:pt>
                <c:pt idx="5">
                  <c:v>Úrgangur</c:v>
                </c:pt>
                <c:pt idx="6">
                  <c:v>Jarðvarmavirkjanir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1360.4102725798757</c:v>
                </c:pt>
                <c:pt idx="1">
                  <c:v>898.35428884904547</c:v>
                </c:pt>
                <c:pt idx="2">
                  <c:v>669.59914464131464</c:v>
                </c:pt>
                <c:pt idx="3">
                  <c:v>519.47716734952905</c:v>
                </c:pt>
                <c:pt idx="4">
                  <c:v>527.31915978550001</c:v>
                </c:pt>
                <c:pt idx="5">
                  <c:v>238.29994109170406</c:v>
                </c:pt>
                <c:pt idx="6">
                  <c:v>223.69103641446083</c:v>
                </c:pt>
                <c:pt idx="7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411-4020-91D2-3FE893339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4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53503475920441679"/>
          <c:y val="0.565944926263293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719731799255066"/>
          <c:y val="0.13072826965943923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6-4040-86E2-666577510F2C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96-4040-86E2-666577510F2C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96-4040-86E2-666577510F2C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6-4040-86E2-666577510F2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96-4040-86E2-666577510F2C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C96-4040-86E2-666577510F2C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C96-4040-86E2-666577510F2C}"/>
              </c:ext>
            </c:extLst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C96-4040-86E2-666577510F2C}"/>
              </c:ext>
            </c:extLst>
          </c:dPt>
          <c:dLbls>
            <c:dLbl>
              <c:idx val="0"/>
              <c:layout>
                <c:manualLayout>
                  <c:x val="0.18598460521429064"/>
                  <c:y val="-0.2072649318390586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35472332379527"/>
                      <c:h val="0.1616672021360913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C96-4040-86E2-666577510F2C}"/>
                </c:ext>
              </c:extLst>
            </c:dLbl>
            <c:dLbl>
              <c:idx val="1"/>
              <c:layout>
                <c:manualLayout>
                  <c:x val="0.17710509313204451"/>
                  <c:y val="0.112164406645607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C96-4040-86E2-666577510F2C}"/>
                </c:ext>
              </c:extLst>
            </c:dLbl>
            <c:dLbl>
              <c:idx val="2"/>
              <c:layout>
                <c:manualLayout>
                  <c:x val="-0.16348961293616587"/>
                  <c:y val="0.135017118724375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132101768487149"/>
                      <c:h val="0.151500924999521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C96-4040-86E2-666577510F2C}"/>
                </c:ext>
              </c:extLst>
            </c:dLbl>
            <c:dLbl>
              <c:idx val="3"/>
              <c:layout>
                <c:manualLayout>
                  <c:x val="-0.192377529522923"/>
                  <c:y val="4.86852047808052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2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26057047496488"/>
                      <c:h val="0.15285885150638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C96-4040-86E2-666577510F2C}"/>
                </c:ext>
              </c:extLst>
            </c:dLbl>
            <c:dLbl>
              <c:idx val="4"/>
              <c:layout>
                <c:manualLayout>
                  <c:x val="-0.31186759541272802"/>
                  <c:y val="1.5207208885708595E-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 b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42508250539541"/>
                      <c:h val="0.1767340541634893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C96-4040-86E2-666577510F2C}"/>
                </c:ext>
              </c:extLst>
            </c:dLbl>
            <c:dLbl>
              <c:idx val="5"/>
              <c:layout>
                <c:manualLayout>
                  <c:x val="-0.18888321704498234"/>
                  <c:y val="-7.4836531151488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C96-4040-86E2-666577510F2C}"/>
                </c:ext>
              </c:extLst>
            </c:dLbl>
            <c:dLbl>
              <c:idx val="6"/>
              <c:layout>
                <c:manualLayout>
                  <c:x val="-0.29533877915171552"/>
                  <c:y val="-0.2456682513370007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2C96-4040-86E2-666577510F2C}"/>
                </c:ext>
              </c:extLst>
            </c:dLbl>
            <c:dLbl>
              <c:idx val="7"/>
              <c:layout>
                <c:manualLayout>
                  <c:x val="-0.11259438594330469"/>
                  <c:y val="-0.189464067521390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D98EE4-4514-4DE2-97CA-A23A9814B15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0E7E8CEF-C8A2-41DF-9753-C977B591FE4C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2C96-4040-86E2-666577510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Emissions'!$AG$148:$AG$155</c:f>
              <c:strCache>
                <c:ptCount val="8"/>
                <c:pt idx="0">
                  <c:v>Aluminium Production</c:v>
                </c:pt>
                <c:pt idx="1">
                  <c:v>Road Transport</c:v>
                </c:pt>
                <c:pt idx="2">
                  <c:v>Agriculture</c:v>
                </c:pt>
                <c:pt idx="3">
                  <c:v>Fishing</c:v>
                </c:pt>
                <c:pt idx="4">
                  <c:v>Ferrosilicon and Silicon Metal Production</c:v>
                </c:pt>
                <c:pt idx="5">
                  <c:v>Waste</c:v>
                </c:pt>
                <c:pt idx="6">
                  <c:v>Geothermal Energy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1360.4102725798757</c:v>
                </c:pt>
                <c:pt idx="1">
                  <c:v>898.35428884904547</c:v>
                </c:pt>
                <c:pt idx="2">
                  <c:v>669.59914464131464</c:v>
                </c:pt>
                <c:pt idx="3">
                  <c:v>519.47716734952905</c:v>
                </c:pt>
                <c:pt idx="4">
                  <c:v>527.31915978550001</c:v>
                </c:pt>
                <c:pt idx="5">
                  <c:v>238.29994109170406</c:v>
                </c:pt>
                <c:pt idx="6">
                  <c:v>223.69103641446083</c:v>
                </c:pt>
                <c:pt idx="7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96-4040-86E2-66657751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4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543314009661835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43EF-BB54-7B16C29458BE}"/>
            </c:ext>
          </c:extLst>
        </c:ser>
        <c:ser>
          <c:idx val="4"/>
          <c:order val="1"/>
          <c:tx>
            <c:v>Framreiknuð losun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Data'!$W$294:$AV$294</c:f>
              <c:numCache>
                <c:formatCode>0</c:formatCode>
                <c:ptCount val="26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2"/>
          <c:tx>
            <c:v>Losunarúthlutanir*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A8A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Data'!$W$264:$AV$264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843793135023851"/>
          <c:y val="0.39114190192794052"/>
          <c:w val="0.17080185541467036"/>
          <c:h val="0.2090710278855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4587426368120922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5902072307530476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4C8C-962D-455EAD95C32D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1-4C8C-962D-455EAD95C32D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C1-4C8C-962D-455EAD95C32D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C1-4C8C-962D-455EAD95C32D}"/>
            </c:ext>
          </c:extLst>
        </c:ser>
        <c:ser>
          <c:idx val="4"/>
          <c:order val="4"/>
          <c:tx>
            <c:strRef>
              <c:f>'Talnagögn | Numerical Data'!$E$29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C1-4C8C-962D-455EAD95C32D}"/>
            </c:ext>
          </c:extLst>
        </c:ser>
        <c:ser>
          <c:idx val="6"/>
          <c:order val="5"/>
          <c:tx>
            <c:strRef>
              <c:f>'Talnagögn | Numerical Data'!$E$31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C1-4C8C-962D-455EAD95C32D}"/>
            </c:ext>
          </c:extLst>
        </c:ser>
        <c:ser>
          <c:idx val="2"/>
          <c:order val="6"/>
          <c:tx>
            <c:strRef>
              <c:f>'Talnagögn | Numerical Data'!$E$27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C1-4C8C-962D-455EAD95C32D}"/>
            </c:ext>
          </c:extLst>
        </c:ser>
        <c:ser>
          <c:idx val="7"/>
          <c:order val="7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C1-4C8C-962D-455EAD95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36821227420243"/>
          <c:y val="0.2110455459424167"/>
          <c:w val="0.29903699925620941"/>
          <c:h val="0.598832725029473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315564310018677"/>
          <c:y val="5.7155882769234024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56600153303645639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5-4F87-A671-AB75E12F89E2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5-4F87-A671-AB75E12F89E2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5-4F87-A671-AB75E12F89E2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5-4F87-A671-AB75E12F89E2}"/>
            </c:ext>
          </c:extLst>
        </c:ser>
        <c:ser>
          <c:idx val="4"/>
          <c:order val="4"/>
          <c:tx>
            <c:strRef>
              <c:f>'Talnagögn | Numerical Data'!$E$29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35-4F87-A671-AB75E12F89E2}"/>
            </c:ext>
          </c:extLst>
        </c:ser>
        <c:ser>
          <c:idx val="7"/>
          <c:order val="5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35-4F87-A671-AB75E12F89E2}"/>
            </c:ext>
          </c:extLst>
        </c:ser>
        <c:ser>
          <c:idx val="6"/>
          <c:order val="6"/>
          <c:tx>
            <c:strRef>
              <c:f>'Talnagögn | Numerical Data'!$E$31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35-4F87-A671-AB75E12F89E2}"/>
            </c:ext>
          </c:extLst>
        </c:ser>
        <c:ser>
          <c:idx val="2"/>
          <c:order val="7"/>
          <c:tx>
            <c:strRef>
              <c:f>'Talnagögn | Numerical Data'!$E$27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35-4F87-A671-AB75E12F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520419317537448"/>
          <c:y val="0.25516599058535738"/>
          <c:w val="0.34479580682462552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384878173168904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Data'!$H$28:$AV$28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F-491E-938F-820CA0F2F4FC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Data'!$H$26:$AV$26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F-491E-938F-820CA0F2F4FC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Data'!$H$30:$AV$30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F-491E-938F-820CA0F2F4FC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Data'!$H$25:$AV$25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6F-491E-938F-820CA0F2F4FC}"/>
            </c:ext>
          </c:extLst>
        </c:ser>
        <c:ser>
          <c:idx val="7"/>
          <c:order val="4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Data'!$H$34:$AV$34</c:f>
              <c:numCache>
                <c:formatCode>0</c:formatCode>
                <c:ptCount val="41"/>
                <c:pt idx="0">
                  <c:v>1074.4387499433192</c:v>
                </c:pt>
                <c:pt idx="1">
                  <c:v>958.70398338857137</c:v>
                </c:pt>
                <c:pt idx="2">
                  <c:v>1026.3243744497001</c:v>
                </c:pt>
                <c:pt idx="3">
                  <c:v>1134.4758493033651</c:v>
                </c:pt>
                <c:pt idx="4">
                  <c:v>1092.5957578294842</c:v>
                </c:pt>
                <c:pt idx="5">
                  <c:v>1169.2592351617141</c:v>
                </c:pt>
                <c:pt idx="6">
                  <c:v>1239.6707280927508</c:v>
                </c:pt>
                <c:pt idx="7">
                  <c:v>1294.8716439403879</c:v>
                </c:pt>
                <c:pt idx="8">
                  <c:v>1251.7051173306972</c:v>
                </c:pt>
                <c:pt idx="9">
                  <c:v>1385.5321636582773</c:v>
                </c:pt>
                <c:pt idx="10">
                  <c:v>1473.7453645331011</c:v>
                </c:pt>
                <c:pt idx="11">
                  <c:v>1528.8247059081086</c:v>
                </c:pt>
                <c:pt idx="12">
                  <c:v>1525.9905574588652</c:v>
                </c:pt>
                <c:pt idx="13">
                  <c:v>1462.5218314193883</c:v>
                </c:pt>
                <c:pt idx="14">
                  <c:v>1537.0591615811052</c:v>
                </c:pt>
                <c:pt idx="15">
                  <c:v>1455.7818349561385</c:v>
                </c:pt>
                <c:pt idx="16">
                  <c:v>1519.4142588904219</c:v>
                </c:pt>
                <c:pt idx="17">
                  <c:v>1562.6275811962951</c:v>
                </c:pt>
                <c:pt idx="18">
                  <c:v>1478.5983913114371</c:v>
                </c:pt>
                <c:pt idx="19">
                  <c:v>1293.6292417069376</c:v>
                </c:pt>
                <c:pt idx="20">
                  <c:v>1294.3523513506686</c:v>
                </c:pt>
                <c:pt idx="21">
                  <c:v>1282.0623793041154</c:v>
                </c:pt>
                <c:pt idx="22">
                  <c:v>1244.686387169513</c:v>
                </c:pt>
                <c:pt idx="23">
                  <c:v>1254.402073119983</c:v>
                </c:pt>
                <c:pt idx="24">
                  <c:v>1230.4028272343298</c:v>
                </c:pt>
                <c:pt idx="25">
                  <c:v>1247.0820254913283</c:v>
                </c:pt>
                <c:pt idx="26">
                  <c:v>1272.7430504514477</c:v>
                </c:pt>
                <c:pt idx="27">
                  <c:v>1256.8078564803052</c:v>
                </c:pt>
                <c:pt idx="28">
                  <c:v>1301.2379192135381</c:v>
                </c:pt>
                <c:pt idx="29">
                  <c:v>1256.4113461042775</c:v>
                </c:pt>
                <c:pt idx="30">
                  <c:v>1211.7932018350775</c:v>
                </c:pt>
                <c:pt idx="31">
                  <c:v>1238.8626666117607</c:v>
                </c:pt>
                <c:pt idx="32">
                  <c:v>1320.6761874215169</c:v>
                </c:pt>
                <c:pt idx="33">
                  <c:v>1158.698606665831</c:v>
                </c:pt>
                <c:pt idx="34">
                  <c:v>1325.5189377143379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6F-491E-938F-820CA0F2F4FC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Data'!$H$39:$BU$39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F-491E-938F-820CA0F2F4FC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Data'!$H$37:$BU$37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6F-491E-938F-820CA0F2F4FC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Data'!$H$41:$BU$41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6F-491E-938F-820CA0F2F4FC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Data'!$H$36:$BU$36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F-491E-938F-820CA0F2F4FC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General</c:formatCode>
                <c:ptCount val="66"/>
                <c:pt idx="33">
                  <c:v>1158.698606665831</c:v>
                </c:pt>
                <c:pt idx="34">
                  <c:v>1325.5189377143379</c:v>
                </c:pt>
                <c:pt idx="35" formatCode="0">
                  <c:v>1089.0023171435573</c:v>
                </c:pt>
                <c:pt idx="36" formatCode="0">
                  <c:v>1139.5588520259084</c:v>
                </c:pt>
                <c:pt idx="37" formatCode="0">
                  <c:v>1123.5832856552374</c:v>
                </c:pt>
                <c:pt idx="38" formatCode="0">
                  <c:v>1061.3056076859211</c:v>
                </c:pt>
                <c:pt idx="39" formatCode="0">
                  <c:v>1037.8922511612402</c:v>
                </c:pt>
                <c:pt idx="40" formatCode="0">
                  <c:v>1021.4503723115212</c:v>
                </c:pt>
                <c:pt idx="41" formatCode="0">
                  <c:v>993.12194616619797</c:v>
                </c:pt>
                <c:pt idx="42" formatCode="0">
                  <c:v>984.45638938945672</c:v>
                </c:pt>
                <c:pt idx="43" formatCode="0">
                  <c:v>986.06659263117365</c:v>
                </c:pt>
                <c:pt idx="44" formatCode="0">
                  <c:v>970.92949244119347</c:v>
                </c:pt>
                <c:pt idx="45" formatCode="0">
                  <c:v>954.69632582286476</c:v>
                </c:pt>
                <c:pt idx="46" formatCode="0">
                  <c:v>947.49052000465474</c:v>
                </c:pt>
                <c:pt idx="47" formatCode="0">
                  <c:v>940.08834414861576</c:v>
                </c:pt>
                <c:pt idx="48" formatCode="0">
                  <c:v>932.21331037518871</c:v>
                </c:pt>
                <c:pt idx="49" formatCode="0">
                  <c:v>924.62754875412838</c:v>
                </c:pt>
                <c:pt idx="50" formatCode="0">
                  <c:v>916.87488685222388</c:v>
                </c:pt>
                <c:pt idx="51" formatCode="0">
                  <c:v>909.01641629820676</c:v>
                </c:pt>
                <c:pt idx="52" formatCode="0">
                  <c:v>900.72343953330858</c:v>
                </c:pt>
                <c:pt idx="53" formatCode="0">
                  <c:v>892.53053964273329</c:v>
                </c:pt>
                <c:pt idx="54" formatCode="0">
                  <c:v>884.42023768959098</c:v>
                </c:pt>
                <c:pt idx="55" formatCode="0">
                  <c:v>876.35304620635486</c:v>
                </c:pt>
                <c:pt idx="56" formatCode="0">
                  <c:v>868.34359820281236</c:v>
                </c:pt>
                <c:pt idx="57" formatCode="0">
                  <c:v>860.40545670731365</c:v>
                </c:pt>
                <c:pt idx="58" formatCode="0">
                  <c:v>851.75205329743483</c:v>
                </c:pt>
                <c:pt idx="59" formatCode="0">
                  <c:v>843.05592698957219</c:v>
                </c:pt>
                <c:pt idx="60" formatCode="0">
                  <c:v>834.15143642900864</c:v>
                </c:pt>
                <c:pt idx="61" formatCode="0">
                  <c:v>826.75437028565148</c:v>
                </c:pt>
                <c:pt idx="62" formatCode="0">
                  <c:v>818.29353619037954</c:v>
                </c:pt>
                <c:pt idx="63" formatCode="0">
                  <c:v>810.07849605506237</c:v>
                </c:pt>
                <c:pt idx="64" formatCode="0">
                  <c:v>802.21303843784153</c:v>
                </c:pt>
                <c:pt idx="65" formatCode="0">
                  <c:v>792.33825955030659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6F-491E-938F-820CA0F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14170105630281"/>
          <c:y val="0.12432523148148149"/>
          <c:w val="0.42249346190456322"/>
          <c:h val="0.77798611111111127"/>
        </c:manualLayout>
      </c:layout>
      <c:doughnutChart>
        <c:varyColors val="1"/>
        <c:ser>
          <c:idx val="0"/>
          <c:order val="0"/>
          <c:spPr>
            <a:solidFill>
              <a:srgbClr val="5E9FE8"/>
            </a:solidFill>
          </c:spPr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1-4687-B201-73C7C2D17765}"/>
              </c:ext>
            </c:extLst>
          </c:dPt>
          <c:dPt>
            <c:idx val="1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81-4687-B201-73C7C2D17765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81-4687-B201-73C7C2D17765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81-4687-B201-73C7C2D17765}"/>
              </c:ext>
            </c:extLst>
          </c:dPt>
          <c:dPt>
            <c:idx val="4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81-4687-B201-73C7C2D17765}"/>
              </c:ext>
            </c:extLst>
          </c:dPt>
          <c:dPt>
            <c:idx val="5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81-4687-B201-73C7C2D17765}"/>
              </c:ext>
            </c:extLst>
          </c:dPt>
          <c:dPt>
            <c:idx val="6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81-4687-B201-73C7C2D17765}"/>
              </c:ext>
            </c:extLst>
          </c:dPt>
          <c:dPt>
            <c:idx val="7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81-4687-B201-73C7C2D17765}"/>
              </c:ext>
            </c:extLst>
          </c:dPt>
          <c:dLbls>
            <c:dLbl>
              <c:idx val="0"/>
              <c:layout>
                <c:manualLayout>
                  <c:x val="0.1580532088585222"/>
                  <c:y val="-0.12641203703703704"/>
                </c:manualLayout>
              </c:layout>
              <c:tx>
                <c:rich>
                  <a:bodyPr/>
                  <a:lstStyle/>
                  <a:p>
                    <a:fld id="{7E0DBF10-4E00-4A56-AAE3-9E27CE8566AB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00FE6896-6149-48B0-83FE-0061D940A45C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r>
                      <a:rPr lang="en-US" baseline="0"/>
                      <a:t>
</a:t>
                    </a:r>
                    <a:fld id="{811909B0-2D9E-4CDD-BF99-3D409E43948D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F81-4687-B201-73C7C2D17765}"/>
                </c:ext>
              </c:extLst>
            </c:dLbl>
            <c:dLbl>
              <c:idx val="1"/>
              <c:layout>
                <c:manualLayout>
                  <c:x val="0.12506756828104784"/>
                  <c:y val="0.1406458333333331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91815E-681B-42ED-9624-01FBB04D2D4A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5C074B23-5B08-46C9-9EC7-C8B85EDA16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74259D6-FC4D-4D27-A2D5-1F85CC99AB6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372973894381788"/>
                      <c:h val="0.13698263888888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F81-4687-B201-73C7C2D17765}"/>
                </c:ext>
              </c:extLst>
            </c:dLbl>
            <c:dLbl>
              <c:idx val="2"/>
              <c:layout>
                <c:manualLayout>
                  <c:x val="-0.2252296567305048"/>
                  <c:y val="0.20596990740740731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Geothermal Energy</a:t>
                    </a:r>
                  </a:p>
                  <a:p>
                    <a:r>
                      <a:rPr lang="en-US" sz="1100" b="0"/>
                      <a:t>190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100" b="0"/>
                      <a:t>11%</a:t>
                    </a:r>
                    <a:endParaRPr lang="en-US" sz="1050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77711493119474"/>
                      <c:h val="0.1712078703703703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9F81-4687-B201-73C7C2D17765}"/>
                </c:ext>
              </c:extLst>
            </c:dLbl>
            <c:dLbl>
              <c:idx val="3"/>
              <c:layout>
                <c:manualLayout>
                  <c:x val="-0.23300711157729381"/>
                  <c:y val="4.91971064814814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237500936527801"/>
                      <c:h val="0.199660416666666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F81-4687-B201-73C7C2D17765}"/>
                </c:ext>
              </c:extLst>
            </c:dLbl>
            <c:dLbl>
              <c:idx val="4"/>
              <c:layout>
                <c:manualLayout>
                  <c:x val="-0.41327695980699231"/>
                  <c:y val="-9.213194444444444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2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74759557486212"/>
                      <c:h val="0.198330787037037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F81-4687-B201-73C7C2D17765}"/>
                </c:ext>
              </c:extLst>
            </c:dLbl>
            <c:dLbl>
              <c:idx val="5"/>
              <c:layout>
                <c:manualLayout>
                  <c:x val="-0.44095965312518698"/>
                  <c:y val="-0.256142013888888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20837731033238"/>
                      <c:h val="0.180962499999999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F81-4687-B201-73C7C2D17765}"/>
                </c:ext>
              </c:extLst>
            </c:dLbl>
            <c:dLbl>
              <c:idx val="6"/>
              <c:layout>
                <c:manualLayout>
                  <c:x val="-0.26690086985205125"/>
                  <c:y val="-0.324286226851851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292200194194382"/>
                      <c:h val="0.183149537037037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F81-4687-B201-73C7C2D17765}"/>
                </c:ext>
              </c:extLst>
            </c:dLbl>
            <c:dLbl>
              <c:idx val="7"/>
              <c:layout>
                <c:manualLayout>
                  <c:x val="-5.1515251700960767E-2"/>
                  <c:y val="-0.280157291666666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84568184000937"/>
                      <c:h val="0.1428622685185184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9F81-4687-B201-73C7C2D17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Emissions'!$AG$248:$AG$255</c:f>
              <c:strCache>
                <c:ptCount val="8"/>
                <c:pt idx="0">
                  <c:v>Road Transport</c:v>
                </c:pt>
                <c:pt idx="1">
                  <c:v>Fishing</c:v>
                </c:pt>
                <c:pt idx="2">
                  <c:v>Geothermal Energy</c:v>
                </c:pt>
                <c:pt idx="3">
                  <c:v>Off-Road Vehicles and Other Machinery</c:v>
                </c:pt>
                <c:pt idx="4">
                  <c:v>Fuel Combustion in Stationary Industry</c:v>
                </c:pt>
                <c:pt idx="5">
                  <c:v>Domestic Aviation</c:v>
                </c:pt>
                <c:pt idx="6">
                  <c:v>Domestic Navigation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898.35428884904547</c:v>
                </c:pt>
                <c:pt idx="1">
                  <c:v>519.47716734952905</c:v>
                </c:pt>
                <c:pt idx="2">
                  <c:v>223.69103641446083</c:v>
                </c:pt>
                <c:pt idx="3">
                  <c:v>76.484306234264068</c:v>
                </c:pt>
                <c:pt idx="4">
                  <c:v>79.187330431701042</c:v>
                </c:pt>
                <c:pt idx="5">
                  <c:v>20.498994139466671</c:v>
                </c:pt>
                <c:pt idx="6">
                  <c:v>13.457077051192861</c:v>
                </c:pt>
                <c:pt idx="7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81-4687-B201-73C7C2D1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6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5.5856481481481479E-2"/>
          <c:w val="0.56653698573257938"/>
          <c:h val="0.85736944444444441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3-40E2-95D0-2857F6DDE25E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3-40E2-95D0-2857F6DDE25E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3-40E2-95D0-2857F6DDE25E}"/>
            </c:ext>
          </c:extLst>
        </c:ser>
        <c:ser>
          <c:idx val="4"/>
          <c:order val="3"/>
          <c:tx>
            <c:strRef>
              <c:f>'Talnagögn | Numerical Data'!$D$53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33-40E2-95D0-2857F6DDE25E}"/>
            </c:ext>
          </c:extLst>
        </c:ser>
        <c:ser>
          <c:idx val="5"/>
          <c:order val="4"/>
          <c:tx>
            <c:strRef>
              <c:f>'Talnagögn | Numerical Data'!$D$57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33-40E2-95D0-2857F6DDE25E}"/>
            </c:ext>
          </c:extLst>
        </c:ser>
        <c:ser>
          <c:idx val="2"/>
          <c:order val="5"/>
          <c:tx>
            <c:strRef>
              <c:f>'Talnagögn | Numerical Data'!$D$51</c:f>
              <c:strCache>
                <c:ptCount val="1"/>
                <c:pt idx="0">
                  <c:v>Innanlandsflug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33-40E2-95D0-2857F6DDE25E}"/>
            </c:ext>
          </c:extLst>
        </c:ser>
        <c:ser>
          <c:idx val="3"/>
          <c:order val="6"/>
          <c:tx>
            <c:strRef>
              <c:f>'Talnagögn | Numerical Data'!$D$52</c:f>
              <c:strCache>
                <c:ptCount val="1"/>
                <c:pt idx="0">
                  <c:v>Strandsiglingar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33-40E2-95D0-2857F6DDE25E}"/>
            </c:ext>
          </c:extLst>
        </c:ser>
        <c:ser>
          <c:idx val="7"/>
          <c:order val="7"/>
          <c:tx>
            <c:strRef>
              <c:f>'Talnagögn | Numerical Data'!$D$61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33-40E2-95D0-2857F6DDE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28518518518518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0.11353564814814815"/>
          <c:w val="0.58603202689551448"/>
          <c:h val="0.799690277777777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0-4C71-82D9-D7F6CC0BCF73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0-4C71-82D9-D7F6CC0BCF73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B0-4C71-82D9-D7F6CC0BCF73}"/>
            </c:ext>
          </c:extLst>
        </c:ser>
        <c:ser>
          <c:idx val="4"/>
          <c:order val="3"/>
          <c:tx>
            <c:strRef>
              <c:f>'Talnagögn | Numerical Data'!$E$53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B0-4C71-82D9-D7F6CC0BCF73}"/>
            </c:ext>
          </c:extLst>
        </c:ser>
        <c:ser>
          <c:idx val="5"/>
          <c:order val="4"/>
          <c:tx>
            <c:strRef>
              <c:f>'Talnagögn | Numerical Data'!$E$57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B0-4C71-82D9-D7F6CC0BCF73}"/>
            </c:ext>
          </c:extLst>
        </c:ser>
        <c:ser>
          <c:idx val="2"/>
          <c:order val="5"/>
          <c:tx>
            <c:strRef>
              <c:f>'Talnagögn | Numerical Data'!$E$51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0-4C71-82D9-D7F6CC0BCF73}"/>
            </c:ext>
          </c:extLst>
        </c:ser>
        <c:ser>
          <c:idx val="3"/>
          <c:order val="6"/>
          <c:tx>
            <c:strRef>
              <c:f>'Talnagögn | Numerical Data'!$E$52</c:f>
              <c:strCache>
                <c:ptCount val="1"/>
                <c:pt idx="0">
                  <c:v>Domestic Navigation</c:v>
                </c:pt>
              </c:strCache>
            </c:strRef>
          </c:tx>
          <c:spPr>
            <a:solidFill>
              <a:srgbClr val="FFDDD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0-4C71-82D9-D7F6CC0BCF73}"/>
            </c:ext>
          </c:extLst>
        </c:ser>
        <c:ser>
          <c:idx val="7"/>
          <c:order val="7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B0-4C71-82D9-D7F6CC0B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90099973458374"/>
          <c:y val="0.26069629629629631"/>
          <c:w val="0.30709900026541626"/>
          <c:h val="0.49624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56653698573257938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1-423E-92F7-7D5CF34F3B7A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1-423E-92F7-7D5CF34F3B7A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1-423E-92F7-7D5CF34F3B7A}"/>
            </c:ext>
          </c:extLst>
        </c:ser>
        <c:ser>
          <c:idx val="4"/>
          <c:order val="3"/>
          <c:tx>
            <c:strRef>
              <c:f>'Talnagögn | Numerical Data'!$E$53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1-423E-92F7-7D5CF34F3B7A}"/>
            </c:ext>
          </c:extLst>
        </c:ser>
        <c:ser>
          <c:idx val="5"/>
          <c:order val="4"/>
          <c:tx>
            <c:strRef>
              <c:f>'Talnagögn | Numerical Data'!$E$57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1-423E-92F7-7D5CF34F3B7A}"/>
            </c:ext>
          </c:extLst>
        </c:ser>
        <c:ser>
          <c:idx val="2"/>
          <c:order val="5"/>
          <c:tx>
            <c:strRef>
              <c:f>'Talnagögn | Numerical Data'!$E$51</c:f>
              <c:strCache>
                <c:ptCount val="1"/>
                <c:pt idx="0">
                  <c:v>Domestic Aviation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1-423E-92F7-7D5CF34F3B7A}"/>
            </c:ext>
          </c:extLst>
        </c:ser>
        <c:ser>
          <c:idx val="3"/>
          <c:order val="6"/>
          <c:tx>
            <c:strRef>
              <c:f>'Talnagögn | Numerical Data'!$E$52</c:f>
              <c:strCache>
                <c:ptCount val="1"/>
                <c:pt idx="0">
                  <c:v>Domestic Navigation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01-423E-92F7-7D5CF34F3B7A}"/>
            </c:ext>
          </c:extLst>
        </c:ser>
        <c:ser>
          <c:idx val="7"/>
          <c:order val="7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01-423E-92F7-7D5CF34F3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8731481481481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Söguleg losun</c:v>
          </c:tx>
          <c:spPr>
            <a:ln w="28575" cap="rnd">
              <a:solidFill>
                <a:srgbClr val="B29A3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Data'!$H$93:$AV$93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E-43D4-8F61-5743CEF45262}"/>
            </c:ext>
          </c:extLst>
        </c:ser>
        <c:ser>
          <c:idx val="0"/>
          <c:order val="1"/>
          <c:tx>
            <c:v>Framreiknuð losun</c:v>
          </c:tx>
          <c:spPr>
            <a:ln w="28575" cap="rnd">
              <a:solidFill>
                <a:srgbClr val="B29A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E-43D4-8F61-5743CEF4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0342638888888888"/>
          <c:w val="0.2093641915242708"/>
          <c:h val="0.20196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58578910924904437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9-4C2F-80BA-819144DA8E1B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9-4C2F-80BA-819144DA8E1B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9-4C2F-80BA-819144DA8E1B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Data'!$H$87:$AO$87</c15:sqref>
                  </c15:fullRef>
                </c:ext>
              </c:extLst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9-4C2F-80BA-819144DA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358031449277391"/>
          <c:y val="0.35976944444444448"/>
          <c:w val="0.30641956854323688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57623689974492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7-47A9-9FCF-515A19CDAE5F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7-47A9-9FCF-515A19CDAE5F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7-47A9-9FCF-515A19CDAE5F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Data'!$H$87:$AV$87</c15:sqref>
                  </c15:fullRef>
                </c:ext>
              </c:extLst>
              <c:f>'Talnagögn | Numerical Data'!$H$87:$AP$87</c:f>
              <c:numCache>
                <c:formatCode>0</c:formatCode>
                <c:ptCount val="35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  <c:pt idx="34">
                  <c:v>11.079378686252676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47-47A9-9FCF-515A19CD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484157240028099"/>
          <c:y val="0.36858888888888897"/>
          <c:w val="0.30515842759971906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49675923840126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1-481F-A2B0-A53414EF8967}"/>
            </c:ext>
          </c:extLst>
        </c:ser>
        <c:ser>
          <c:idx val="4"/>
          <c:order val="1"/>
          <c:tx>
            <c:v>Emission Projections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Data'!$W$294:$AV$294</c:f>
              <c:numCache>
                <c:formatCode>0</c:formatCode>
                <c:ptCount val="26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2"/>
          <c:tx>
            <c:v>Emission Allocations*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A8A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Data'!$W$264:$AV$264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20137612048089"/>
          <c:y val="0.36670286848982786"/>
          <c:w val="0.20911008321269259"/>
          <c:h val="0.255039527065477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Historical Emissions</c:v>
          </c:tx>
          <c:spPr>
            <a:ln w="28575" cap="rnd">
              <a:solidFill>
                <a:srgbClr val="B29A3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Data'!$H$93:$AV$93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A-4E6D-A047-4141C5479842}"/>
            </c:ext>
          </c:extLst>
        </c:ser>
        <c:ser>
          <c:idx val="0"/>
          <c:order val="1"/>
          <c:tx>
            <c:v>Emission Projections</c:v>
          </c:tx>
          <c:spPr>
            <a:ln w="28575" cap="rnd">
              <a:solidFill>
                <a:srgbClr val="B29A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A-4E6D-A047-4141C5479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2400509259259256"/>
          <c:w val="0.23998113498899987"/>
          <c:h val="0.18726759259259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80-4197-A04E-E6A94BEEA6AE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80-4197-A04E-E6A94BEEA6AE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0-4197-A04E-E6A94BEEA6AE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80-4197-A04E-E6A94BEEA6AE}"/>
              </c:ext>
            </c:extLst>
          </c:dPt>
          <c:dLbls>
            <c:dLbl>
              <c:idx val="0"/>
              <c:layout>
                <c:manualLayout>
                  <c:x val="-0.27762169170488105"/>
                  <c:y val="0.12422416019262116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180-4197-A04E-E6A94BEEA6AE}"/>
                </c:ext>
              </c:extLst>
            </c:dLbl>
            <c:dLbl>
              <c:idx val="1"/>
              <c:layout>
                <c:manualLayout>
                  <c:x val="-0.26118573498727354"/>
                  <c:y val="-0.134613101257304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fld id="{C54DC737-4F07-4B2C-A4BF-C1F3A086A0F0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180-4197-A04E-E6A94BEEA6AE}"/>
                </c:ext>
              </c:extLst>
            </c:dLbl>
            <c:dLbl>
              <c:idx val="2"/>
              <c:layout>
                <c:manualLayout>
                  <c:x val="0.24610460449777818"/>
                  <c:y val="-0.12840114714269091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180-4197-A04E-E6A94BEEA6AE}"/>
                </c:ext>
              </c:extLst>
            </c:dLbl>
            <c:dLbl>
              <c:idx val="3"/>
              <c:layout>
                <c:manualLayout>
                  <c:x val="0.22449067688819727"/>
                  <c:y val="8.115175272055399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200" b="1"/>
                      <a:pPr>
                        <a:defRPr sz="1050"/>
                      </a:pPr>
                      <a:t>[CATEGORY NAME]</a:t>
                    </a:fld>
                    <a:endParaRPr lang="en-US" sz="120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180-4197-A04E-E6A94BEEA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Emissions'!$E$425:$E$428</c:f>
              <c:strCache>
                <c:ptCount val="4"/>
                <c:pt idx="0">
                  <c:v>Nytjajarðvegur</c:v>
                </c:pt>
                <c:pt idx="1">
                  <c:v>Iðragerjun</c:v>
                </c:pt>
                <c:pt idx="2">
                  <c:v>Meðhöndlun húsdýraáburðar</c:v>
                </c:pt>
                <c:pt idx="3">
                  <c:v>Kölkun og CO₂-losun frá áburði</c:v>
                </c:pt>
              </c:strCache>
            </c:strRef>
          </c:cat>
          <c:val>
            <c:numRef>
              <c:f>'Losun | Emissions'!$F$425:$F$428</c:f>
              <c:numCache>
                <c:formatCode>0</c:formatCode>
                <c:ptCount val="4"/>
                <c:pt idx="0">
                  <c:v>322.41304134971909</c:v>
                </c:pt>
                <c:pt idx="1">
                  <c:v>275.28975195546064</c:v>
                </c:pt>
                <c:pt idx="2">
                  <c:v>65.110184810742581</c:v>
                </c:pt>
                <c:pt idx="3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80-4197-A04E-E6A94BEE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F8-474E-88EB-2959AA1ACEF5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F8-474E-88EB-2959AA1ACEF5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F8-474E-88EB-2959AA1ACEF5}"/>
              </c:ext>
            </c:extLst>
          </c:dPt>
          <c:dPt>
            <c:idx val="3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8-474E-88EB-2959AA1ACEF5}"/>
              </c:ext>
            </c:extLst>
          </c:dPt>
          <c:dPt>
            <c:idx val="4"/>
            <c:bubble3D val="0"/>
            <c:spPr>
              <a:solidFill>
                <a:srgbClr val="3C72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F8-474E-88EB-2959AA1ACEF5}"/>
              </c:ext>
            </c:extLst>
          </c:dPt>
          <c:dPt>
            <c:idx val="5"/>
            <c:bubble3D val="0"/>
            <c:spPr>
              <a:solidFill>
                <a:srgbClr val="BDB4B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F8-474E-88EB-2959AA1ACEF5}"/>
              </c:ext>
            </c:extLst>
          </c:dPt>
          <c:dLbls>
            <c:dLbl>
              <c:idx val="0"/>
              <c:layout>
                <c:manualLayout>
                  <c:x val="0.18359133068008138"/>
                  <c:y val="0.14464153512433597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4358334509"/>
                      <c:h val="0.177682638888888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F8-474E-88EB-2959AA1ACEF5}"/>
                </c:ext>
              </c:extLst>
            </c:dLbl>
            <c:dLbl>
              <c:idx val="1"/>
              <c:layout>
                <c:manualLayout>
                  <c:x val="-0.22663859878858936"/>
                  <c:y val="3.9918304611635487E-2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8F8-474E-88EB-2959AA1ACEF5}"/>
                </c:ext>
              </c:extLst>
            </c:dLbl>
            <c:dLbl>
              <c:idx val="2"/>
              <c:layout>
                <c:manualLayout>
                  <c:x val="-0.19534126517356215"/>
                  <c:y val="-0.173991157846706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8F8-474E-88EB-2959AA1ACEF5}"/>
                </c:ext>
              </c:extLst>
            </c:dLbl>
            <c:dLbl>
              <c:idx val="3"/>
              <c:layout>
                <c:manualLayout>
                  <c:x val="0.20793810610429539"/>
                  <c:y val="-0.17394268748944552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632581385855954"/>
                      <c:h val="0.192997334002094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8F8-474E-88EB-2959AA1ACEF5}"/>
                </c:ext>
              </c:extLst>
            </c:dLbl>
            <c:dLbl>
              <c:idx val="4"/>
              <c:layout>
                <c:manualLayout>
                  <c:x val="0.21794872282906955"/>
                  <c:y val="-7.8127577692650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8F8-474E-88EB-2959AA1ACEF5}"/>
                </c:ext>
              </c:extLst>
            </c:dLbl>
            <c:dLbl>
              <c:idx val="5"/>
              <c:layout>
                <c:manualLayout>
                  <c:x val="0.20540471608871835"/>
                  <c:y val="0.1356729257683597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8F8-474E-88EB-2959AA1AC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Emissions'!$E$435:$E$440</c:f>
              <c:strCache>
                <c:ptCount val="6"/>
                <c:pt idx="0">
                  <c:v>Framræst land (N₂O)</c:v>
                </c:pt>
                <c:pt idx="1">
                  <c:v>Nautgripir</c:v>
                </c:pt>
                <c:pt idx="2">
                  <c:v>Sauðfé</c:v>
                </c:pt>
                <c:pt idx="3">
                  <c:v>Áburðarnotkun í landbúnaði</c:v>
                </c:pt>
                <c:pt idx="4">
                  <c:v>Hestar</c:v>
                </c:pt>
                <c:pt idx="5">
                  <c:v>Önnur losun</c:v>
                </c:pt>
              </c:strCache>
            </c:strRef>
          </c:cat>
          <c:val>
            <c:numRef>
              <c:f>'Losun | Emissions'!$F$435:$F$440</c:f>
              <c:numCache>
                <c:formatCode>0</c:formatCode>
                <c:ptCount val="6"/>
                <c:pt idx="0">
                  <c:v>198.59147831329477</c:v>
                </c:pt>
                <c:pt idx="1">
                  <c:v>169.57799558750742</c:v>
                </c:pt>
                <c:pt idx="2">
                  <c:v>125.94372494955719</c:v>
                </c:pt>
                <c:pt idx="3">
                  <c:v>130.29124808623394</c:v>
                </c:pt>
                <c:pt idx="4">
                  <c:v>24.817131861593037</c:v>
                </c:pt>
                <c:pt idx="5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F8-474E-88EB-2959AA1A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4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6459460580501066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Data'!$D$112</c:f>
              <c:strCache>
                <c:ptCount val="1"/>
                <c:pt idx="0">
                  <c:v>Nytjajarðvegur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0-4D60-8871-650EC2CD3147}"/>
            </c:ext>
          </c:extLst>
        </c:ser>
        <c:ser>
          <c:idx val="0"/>
          <c:order val="1"/>
          <c:tx>
            <c:strRef>
              <c:f>'Talnagögn | Numerical Data'!$D$110</c:f>
              <c:strCache>
                <c:ptCount val="1"/>
                <c:pt idx="0">
                  <c:v>Iðragerjun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D0-4D60-8871-650EC2CD3147}"/>
            </c:ext>
          </c:extLst>
        </c:ser>
        <c:ser>
          <c:idx val="1"/>
          <c:order val="2"/>
          <c:tx>
            <c:strRef>
              <c:f>'Talnagögn | Numerical Data'!$D$111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D0-4D60-8871-650EC2CD3147}"/>
            </c:ext>
          </c:extLst>
        </c:ser>
        <c:ser>
          <c:idx val="3"/>
          <c:order val="3"/>
          <c:tx>
            <c:strRef>
              <c:f>'Talnagögn | Numerical Data'!$D$113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D0-4D60-8871-650EC2CD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64244740239309583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Data'!$D$112</c:f>
              <c:strCache>
                <c:ptCount val="1"/>
                <c:pt idx="0">
                  <c:v>Nytjajarðvegur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5-4709-939F-917D2682C207}"/>
            </c:ext>
          </c:extLst>
        </c:ser>
        <c:ser>
          <c:idx val="0"/>
          <c:order val="1"/>
          <c:tx>
            <c:strRef>
              <c:f>'Talnagögn | Numerical Data'!$D$110</c:f>
              <c:strCache>
                <c:ptCount val="1"/>
                <c:pt idx="0">
                  <c:v>Iðragerjun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5-4709-939F-917D2682C207}"/>
            </c:ext>
          </c:extLst>
        </c:ser>
        <c:ser>
          <c:idx val="1"/>
          <c:order val="2"/>
          <c:tx>
            <c:strRef>
              <c:f>'Talnagögn | Numerical Data'!$D$111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5-4709-939F-917D2682C207}"/>
            </c:ext>
          </c:extLst>
        </c:ser>
        <c:ser>
          <c:idx val="3"/>
          <c:order val="3"/>
          <c:tx>
            <c:strRef>
              <c:f>'Talnagögn | Numerical Data'!$D$113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5-4709-939F-917D2682C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63838788899800314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Data'!$H$151:$AV$151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5-431B-AD86-720EB2126A30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Data'!$H$139:$AV$139</c:f>
              <c:numCache>
                <c:formatCode>0</c:formatCode>
                <c:ptCount val="41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5-431B-AD86-720EB2126A30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Data'!$H$143:$AV$143</c:f>
              <c:numCache>
                <c:formatCode>0</c:formatCode>
                <c:ptCount val="41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E5-431B-AD86-720EB2126A30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5-431B-AD86-720EB2126A30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Data'!$H$147:$AV$147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E5-431B-AD86-720EB2126A30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Data'!$H$152:$AV$152</c:f>
              <c:numCache>
                <c:formatCode>0</c:formatCode>
                <c:ptCount val="41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E5-431B-AD86-720EB2126A30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Data'!$H$175:$BU$175</c:f>
              <c:numCache>
                <c:formatCode>0</c:formatCode>
                <c:ptCount val="66"/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205.82921128332791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207.48157785666524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209.12538304079396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212.82623931115174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214.0597200765834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5-431B-AD86-720EB2126A30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rgbClr val="9ADCB9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Data'!$H$163:$BU$163</c:f>
              <c:numCache>
                <c:formatCode>0</c:formatCode>
                <c:ptCount val="66"/>
                <c:pt idx="34">
                  <c:v>169.57799558750742</c:v>
                </c:pt>
                <c:pt idx="35">
                  <c:v>169.02712658222563</c:v>
                </c:pt>
                <c:pt idx="36">
                  <c:v>169.48676102943139</c:v>
                </c:pt>
                <c:pt idx="37">
                  <c:v>169.44525871130543</c:v>
                </c:pt>
                <c:pt idx="38">
                  <c:v>169.39561491015104</c:v>
                </c:pt>
                <c:pt idx="39">
                  <c:v>169.3378293893343</c:v>
                </c:pt>
                <c:pt idx="40">
                  <c:v>169.27190191222113</c:v>
                </c:pt>
                <c:pt idx="41">
                  <c:v>169.19783224217761</c:v>
                </c:pt>
                <c:pt idx="42">
                  <c:v>169.11562014256961</c:v>
                </c:pt>
                <c:pt idx="43">
                  <c:v>169.02526537676317</c:v>
                </c:pt>
                <c:pt idx="44">
                  <c:v>168.92676770812429</c:v>
                </c:pt>
                <c:pt idx="45">
                  <c:v>168.82012690001895</c:v>
                </c:pt>
                <c:pt idx="46">
                  <c:v>168.70534271581312</c:v>
                </c:pt>
                <c:pt idx="47">
                  <c:v>168.58241491887276</c:v>
                </c:pt>
                <c:pt idx="48">
                  <c:v>168.45134327256389</c:v>
                </c:pt>
                <c:pt idx="49">
                  <c:v>168.31212754025253</c:v>
                </c:pt>
                <c:pt idx="50">
                  <c:v>168.16476748530457</c:v>
                </c:pt>
                <c:pt idx="51">
                  <c:v>168.00926287108609</c:v>
                </c:pt>
                <c:pt idx="52">
                  <c:v>167.84561346096294</c:v>
                </c:pt>
                <c:pt idx="53">
                  <c:v>167.67381901830126</c:v>
                </c:pt>
                <c:pt idx="54">
                  <c:v>167.49387930646697</c:v>
                </c:pt>
                <c:pt idx="55">
                  <c:v>167.30579408882608</c:v>
                </c:pt>
                <c:pt idx="56">
                  <c:v>167.10956312874447</c:v>
                </c:pt>
                <c:pt idx="57">
                  <c:v>166.90518618958828</c:v>
                </c:pt>
                <c:pt idx="58">
                  <c:v>166.69266303472335</c:v>
                </c:pt>
                <c:pt idx="59">
                  <c:v>166.47199342751574</c:v>
                </c:pt>
                <c:pt idx="60">
                  <c:v>166.24317713133146</c:v>
                </c:pt>
                <c:pt idx="61">
                  <c:v>166.00621390953646</c:v>
                </c:pt>
                <c:pt idx="62">
                  <c:v>165.76110352549671</c:v>
                </c:pt>
                <c:pt idx="63">
                  <c:v>165.50784574257821</c:v>
                </c:pt>
                <c:pt idx="64">
                  <c:v>165.2464403241469</c:v>
                </c:pt>
                <c:pt idx="65">
                  <c:v>164.97688703356889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E5-431B-AD86-720EB2126A30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Data'!$H$167:$BU$167</c:f>
              <c:numCache>
                <c:formatCode>0</c:formatCode>
                <c:ptCount val="66"/>
                <c:pt idx="34">
                  <c:v>125.94372494955719</c:v>
                </c:pt>
                <c:pt idx="35">
                  <c:v>125.83234622089682</c:v>
                </c:pt>
                <c:pt idx="36">
                  <c:v>124.52652112525746</c:v>
                </c:pt>
                <c:pt idx="37">
                  <c:v>123.22070184524559</c:v>
                </c:pt>
                <c:pt idx="38">
                  <c:v>121.9148883808612</c:v>
                </c:pt>
                <c:pt idx="39">
                  <c:v>120.60908073210435</c:v>
                </c:pt>
                <c:pt idx="40">
                  <c:v>119.30327889897494</c:v>
                </c:pt>
                <c:pt idx="41">
                  <c:v>117.9974828814731</c:v>
                </c:pt>
                <c:pt idx="42">
                  <c:v>116.69169267959875</c:v>
                </c:pt>
                <c:pt idx="43">
                  <c:v>115.38590829335187</c:v>
                </c:pt>
                <c:pt idx="44">
                  <c:v>114.08012972273251</c:v>
                </c:pt>
                <c:pt idx="45">
                  <c:v>112.77435696774064</c:v>
                </c:pt>
                <c:pt idx="46">
                  <c:v>111.46859002837627</c:v>
                </c:pt>
                <c:pt idx="47">
                  <c:v>110.16282890463944</c:v>
                </c:pt>
                <c:pt idx="48">
                  <c:v>108.85707359653006</c:v>
                </c:pt>
                <c:pt idx="49">
                  <c:v>107.55132410404822</c:v>
                </c:pt>
                <c:pt idx="50">
                  <c:v>106.24558042719383</c:v>
                </c:pt>
                <c:pt idx="51">
                  <c:v>104.93984256596698</c:v>
                </c:pt>
                <c:pt idx="52">
                  <c:v>103.63411052036763</c:v>
                </c:pt>
                <c:pt idx="53">
                  <c:v>102.32838429039576</c:v>
                </c:pt>
                <c:pt idx="54">
                  <c:v>101.02266387605141</c:v>
                </c:pt>
                <c:pt idx="55">
                  <c:v>99.716949277334578</c:v>
                </c:pt>
                <c:pt idx="56">
                  <c:v>98.411240494245206</c:v>
                </c:pt>
                <c:pt idx="57">
                  <c:v>97.105537526783337</c:v>
                </c:pt>
                <c:pt idx="58">
                  <c:v>95.799840374949</c:v>
                </c:pt>
                <c:pt idx="59">
                  <c:v>94.494149038742151</c:v>
                </c:pt>
                <c:pt idx="60">
                  <c:v>93.188463518162806</c:v>
                </c:pt>
                <c:pt idx="61">
                  <c:v>91.882783813210963</c:v>
                </c:pt>
                <c:pt idx="62">
                  <c:v>90.577109923886624</c:v>
                </c:pt>
                <c:pt idx="63">
                  <c:v>89.27144185018976</c:v>
                </c:pt>
                <c:pt idx="64">
                  <c:v>87.965779592120427</c:v>
                </c:pt>
                <c:pt idx="65">
                  <c:v>86.660123149678569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E5-431B-AD86-720EB2126A30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rgbClr val="FFBCB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Data'!$H$156:$BU$156</c:f>
              <c:numCache>
                <c:formatCode>0</c:formatCode>
                <c:ptCount val="66"/>
                <c:pt idx="34">
                  <c:v>130.29124808623394</c:v>
                </c:pt>
                <c:pt idx="35">
                  <c:v>133.53019402209071</c:v>
                </c:pt>
                <c:pt idx="36">
                  <c:v>133.31874501620328</c:v>
                </c:pt>
                <c:pt idx="37">
                  <c:v>133.08354432327079</c:v>
                </c:pt>
                <c:pt idx="38">
                  <c:v>132.83845418315664</c:v>
                </c:pt>
                <c:pt idx="39">
                  <c:v>132.54647368579037</c:v>
                </c:pt>
                <c:pt idx="40">
                  <c:v>132.25753398055141</c:v>
                </c:pt>
                <c:pt idx="41">
                  <c:v>131.99092524657419</c:v>
                </c:pt>
                <c:pt idx="42">
                  <c:v>131.73396222968694</c:v>
                </c:pt>
                <c:pt idx="43">
                  <c:v>131.46129922785065</c:v>
                </c:pt>
                <c:pt idx="44">
                  <c:v>131.19423740540788</c:v>
                </c:pt>
                <c:pt idx="45">
                  <c:v>130.92073820426089</c:v>
                </c:pt>
                <c:pt idx="46">
                  <c:v>130.6613750539546</c:v>
                </c:pt>
                <c:pt idx="47">
                  <c:v>130.39207999124358</c:v>
                </c:pt>
                <c:pt idx="48">
                  <c:v>130.13142445901778</c:v>
                </c:pt>
                <c:pt idx="49">
                  <c:v>129.86178898637473</c:v>
                </c:pt>
                <c:pt idx="50">
                  <c:v>129.60273500599294</c:v>
                </c:pt>
                <c:pt idx="51">
                  <c:v>129.33519172760595</c:v>
                </c:pt>
                <c:pt idx="52">
                  <c:v>129.07712594991375</c:v>
                </c:pt>
                <c:pt idx="53">
                  <c:v>128.80994046682153</c:v>
                </c:pt>
                <c:pt idx="54">
                  <c:v>128.552566288349</c:v>
                </c:pt>
                <c:pt idx="55">
                  <c:v>128.28628343912158</c:v>
                </c:pt>
                <c:pt idx="56">
                  <c:v>128.02967964229816</c:v>
                </c:pt>
                <c:pt idx="57">
                  <c:v>127.76391125892718</c:v>
                </c:pt>
                <c:pt idx="58">
                  <c:v>127.5077338823904</c:v>
                </c:pt>
                <c:pt idx="59">
                  <c:v>127.24241115608646</c:v>
                </c:pt>
                <c:pt idx="60">
                  <c:v>126.98663613329313</c:v>
                </c:pt>
                <c:pt idx="61">
                  <c:v>126.72162186406132</c:v>
                </c:pt>
                <c:pt idx="62">
                  <c:v>126.46606882131485</c:v>
                </c:pt>
                <c:pt idx="63">
                  <c:v>126.20122345721956</c:v>
                </c:pt>
                <c:pt idx="64">
                  <c:v>125.94579300426824</c:v>
                </c:pt>
                <c:pt idx="65">
                  <c:v>125.68101075997586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E5-431B-AD86-720EB2126A30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4">
                  <c:v>24.817131861593037</c:v>
                </c:pt>
                <c:pt idx="35">
                  <c:v>24.756450354869045</c:v>
                </c:pt>
                <c:pt idx="36">
                  <c:v>24.658098944336494</c:v>
                </c:pt>
                <c:pt idx="37">
                  <c:v>24.559747533803943</c:v>
                </c:pt>
                <c:pt idx="38">
                  <c:v>24.461396123271388</c:v>
                </c:pt>
                <c:pt idx="39">
                  <c:v>24.363044712738834</c:v>
                </c:pt>
                <c:pt idx="40">
                  <c:v>24.264693302206279</c:v>
                </c:pt>
                <c:pt idx="41">
                  <c:v>24.166341891673724</c:v>
                </c:pt>
                <c:pt idx="42">
                  <c:v>24.067990481141173</c:v>
                </c:pt>
                <c:pt idx="43">
                  <c:v>23.969639070608626</c:v>
                </c:pt>
                <c:pt idx="44">
                  <c:v>23.871287660076074</c:v>
                </c:pt>
                <c:pt idx="45">
                  <c:v>23.772936249543523</c:v>
                </c:pt>
                <c:pt idx="46">
                  <c:v>23.674584839010972</c:v>
                </c:pt>
                <c:pt idx="47">
                  <c:v>23.576233428478414</c:v>
                </c:pt>
                <c:pt idx="48">
                  <c:v>23.477882017945859</c:v>
                </c:pt>
                <c:pt idx="49">
                  <c:v>23.379530607413308</c:v>
                </c:pt>
                <c:pt idx="50">
                  <c:v>23.281179196880764</c:v>
                </c:pt>
                <c:pt idx="51">
                  <c:v>23.182827786348206</c:v>
                </c:pt>
                <c:pt idx="52">
                  <c:v>23.084476375815651</c:v>
                </c:pt>
                <c:pt idx="53">
                  <c:v>22.986124965283103</c:v>
                </c:pt>
                <c:pt idx="54">
                  <c:v>22.887773554750549</c:v>
                </c:pt>
                <c:pt idx="55">
                  <c:v>22.789422144217994</c:v>
                </c:pt>
                <c:pt idx="56">
                  <c:v>22.691070733685446</c:v>
                </c:pt>
                <c:pt idx="57">
                  <c:v>22.592719323152888</c:v>
                </c:pt>
                <c:pt idx="58">
                  <c:v>22.494367912620337</c:v>
                </c:pt>
                <c:pt idx="59">
                  <c:v>22.396016502087789</c:v>
                </c:pt>
                <c:pt idx="60">
                  <c:v>22.297665091555228</c:v>
                </c:pt>
                <c:pt idx="61">
                  <c:v>22.19931368102268</c:v>
                </c:pt>
                <c:pt idx="62">
                  <c:v>22.100962270490125</c:v>
                </c:pt>
                <c:pt idx="63">
                  <c:v>22.002610859957574</c:v>
                </c:pt>
                <c:pt idx="64">
                  <c:v>21.904259449425023</c:v>
                </c:pt>
                <c:pt idx="65">
                  <c:v>21.805908038892472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E5-431B-AD86-720EB2126A30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Data'!$H$176:$BU$176</c:f>
              <c:numCache>
                <c:formatCode>0</c:formatCode>
                <c:ptCount val="66"/>
                <c:pt idx="34">
                  <c:v>20.377565843128309</c:v>
                </c:pt>
                <c:pt idx="35">
                  <c:v>20.502753147133944</c:v>
                </c:pt>
                <c:pt idx="36">
                  <c:v>20.519592605416278</c:v>
                </c:pt>
                <c:pt idx="37">
                  <c:v>20.476208039313633</c:v>
                </c:pt>
                <c:pt idx="38">
                  <c:v>20.484536507260373</c:v>
                </c:pt>
                <c:pt idx="39">
                  <c:v>20.44111828388975</c:v>
                </c:pt>
                <c:pt idx="40">
                  <c:v>20.449411415441318</c:v>
                </c:pt>
                <c:pt idx="41">
                  <c:v>20.405956276802726</c:v>
                </c:pt>
                <c:pt idx="42">
                  <c:v>20.414211010308691</c:v>
                </c:pt>
                <c:pt idx="43">
                  <c:v>20.370716083155457</c:v>
                </c:pt>
                <c:pt idx="44">
                  <c:v>20.378929726546744</c:v>
                </c:pt>
                <c:pt idx="45">
                  <c:v>20.335392493429936</c:v>
                </c:pt>
                <c:pt idx="46">
                  <c:v>20.343562697940911</c:v>
                </c:pt>
                <c:pt idx="47">
                  <c:v>20.299980973419565</c:v>
                </c:pt>
                <c:pt idx="48">
                  <c:v>20.308105712117708</c:v>
                </c:pt>
                <c:pt idx="49">
                  <c:v>20.264477623453331</c:v>
                </c:pt>
                <c:pt idx="50">
                  <c:v>20.272555173946444</c:v>
                </c:pt>
                <c:pt idx="51">
                  <c:v>20.228879145687188</c:v>
                </c:pt>
                <c:pt idx="52">
                  <c:v>20.236908076465738</c:v>
                </c:pt>
                <c:pt idx="53">
                  <c:v>20.193182818426862</c:v>
                </c:pt>
                <c:pt idx="54">
                  <c:v>20.201161978373193</c:v>
                </c:pt>
                <c:pt idx="55">
                  <c:v>20.157386476580882</c:v>
                </c:pt>
                <c:pt idx="56">
                  <c:v>20.165314987255215</c:v>
                </c:pt>
                <c:pt idx="57">
                  <c:v>20.121488497489054</c:v>
                </c:pt>
                <c:pt idx="58">
                  <c:v>20.129365747852262</c:v>
                </c:pt>
                <c:pt idx="59">
                  <c:v>20.085487791476567</c:v>
                </c:pt>
                <c:pt idx="60">
                  <c:v>20.093313434763331</c:v>
                </c:pt>
                <c:pt idx="61">
                  <c:v>20.049383796580969</c:v>
                </c:pt>
                <c:pt idx="62">
                  <c:v>20.057157749078669</c:v>
                </c:pt>
                <c:pt idx="63">
                  <c:v>20.013176476984086</c:v>
                </c:pt>
                <c:pt idx="64">
                  <c:v>20.020898918512785</c:v>
                </c:pt>
                <c:pt idx="65">
                  <c:v>19.976866324754837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E5-431B-AD86-720EB212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275470835296187"/>
          <c:y val="0.29862037037037037"/>
          <c:w val="0.24760341889166798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C-48AD-A9F8-1850A26B4FD5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C-48AD-A9F8-1850A26B4FD5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C-48AD-A9F8-1850A26B4FD5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2C-48AD-A9F8-1850A26B4FD5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2C-48AD-A9F8-1850A26B4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1748621952418496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0-4111-8DF3-C257AE16A27A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0-4111-8DF3-C257AE16A27A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0-4111-8DF3-C257AE16A27A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90-4111-8DF3-C257AE16A27A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90-4111-8DF3-C257AE16A27A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F90-4111-8DF3-C257AE16A27A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48-4074-8AB3-11D4CCBA60C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90-4111-8DF3-C257AE16A27A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4">
                <a:lumMod val="40000"/>
                <a:lumOff val="60000"/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30196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90-4111-8DF3-C257AE16A27A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8-4074-8AB3-11D4CCBA60C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0-4111-8DF3-C257AE16A27A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90-4111-8DF3-C257AE16A27A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0-4111-8DF3-C257AE16A27A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F90-4111-8DF3-C257AE16A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9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2494676381404067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23820735682591"/>
          <c:y val="8.778218758075601E-2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9-4CFE-BC42-1549311B924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F9-4CFE-BC42-1549311B9247}"/>
              </c:ext>
            </c:extLst>
          </c:dPt>
          <c:dPt>
            <c:idx val="2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F9-4CFE-BC42-1549311B9247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9-4CFE-BC42-1549311B9247}"/>
              </c:ext>
            </c:extLst>
          </c:dPt>
          <c:dLbls>
            <c:dLbl>
              <c:idx val="0"/>
              <c:layout>
                <c:manualLayout>
                  <c:x val="-0.21662760416666665"/>
                  <c:y val="-0.15581018518518519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Urðun úrgangs</a:t>
                    </a:r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9F9-4CFE-BC42-1549311B9247}"/>
                </c:ext>
              </c:extLst>
            </c:dLbl>
            <c:dLbl>
              <c:idx val="1"/>
              <c:layout>
                <c:manualLayout>
                  <c:x val="0.21985096155903969"/>
                  <c:y val="-0.264012794744806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9F9-4CFE-BC42-1549311B9247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9F9-4CFE-BC42-1549311B9247}"/>
                </c:ext>
              </c:extLst>
            </c:dLbl>
            <c:dLbl>
              <c:idx val="3"/>
              <c:layout>
                <c:manualLayout>
                  <c:x val="0.20709522125216104"/>
                  <c:y val="0.2457806713635198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723138020833334"/>
                      <c:h val="0.17474282407407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9F9-4CFE-BC42-1549311B9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Emissions'!$E$631:$E$634</c:f>
              <c:strCache>
                <c:ptCount val="4"/>
                <c:pt idx="0">
                  <c:v>Urðun úrgangs</c:v>
                </c:pt>
                <c:pt idx="1">
                  <c:v>Jarðgerð</c:v>
                </c:pt>
                <c:pt idx="2">
                  <c:v>Brennsla og opinn bruni</c:v>
                </c:pt>
                <c:pt idx="3">
                  <c:v>Meðhöndlun skólps</c:v>
                </c:pt>
              </c:strCache>
            </c:strRef>
          </c:cat>
          <c:val>
            <c:numRef>
              <c:f>'Losun | Emissions'!$F$631:$F$634</c:f>
              <c:numCache>
                <c:formatCode>0.0</c:formatCode>
                <c:ptCount val="4"/>
                <c:pt idx="0" formatCode="0">
                  <c:v>203.07062729519799</c:v>
                </c:pt>
                <c:pt idx="1">
                  <c:v>6.6237543773473622</c:v>
                </c:pt>
                <c:pt idx="2">
                  <c:v>7.4720719590998144</c:v>
                </c:pt>
                <c:pt idx="3" formatCode="0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F9-4CFE-BC42-1549311B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6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68619791666673E-2"/>
          <c:y val="3.8217592592592595E-2"/>
          <c:w val="0.63757706064345709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9-4243-ADE1-08ECACD7551C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9-4243-ADE1-08ECACD7551C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9-4243-ADE1-08ECACD7551C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9-4243-ADE1-08ECACD7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10628019323676"/>
          <c:y val="0.34908796296296291"/>
          <c:w val="0.21537552247372491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27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4-4B38-B088-63DEC7EC7EEF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74-4B38-B088-63DEC7EC7EEF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74-4B38-B088-63DEC7EC7EEF}"/>
              </c:ext>
            </c:extLst>
          </c:dPt>
          <c:dPt>
            <c:idx val="3"/>
            <c:invertIfNegative val="0"/>
            <c:bubble3D val="0"/>
            <c:spPr>
              <a:solidFill>
                <a:srgbClr val="5E9F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4-4B38-B088-63DEC7EC7EEF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44A-40AB-970A-0C7FB3055105}"/>
              </c:ext>
            </c:extLst>
          </c:dPt>
          <c:cat>
            <c:strRef>
              <c:f>'Talnagögn | Numerical Data'!$E$313:$E$317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</c:v>
                </c:pt>
              </c:strCache>
            </c:strRef>
          </c:cat>
          <c:val>
            <c:numRef>
              <c:f>'Talnagögn | Numerical Data'!$AO$313:$AO$317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4865.3819725633139</c:v>
                </c:pt>
                <c:pt idx="3">
                  <c:v>17.149517784685631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74-4B38-B088-63DEC7EC7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7864267326278305"/>
          <c:h val="0.8745175925925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3-4F61-8A27-0ADF77550224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3-4F61-8A27-0ADF7755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816545893719814"/>
          <c:y val="0.41425462962962961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Data'!$H$218:$AV$218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  <c:pt idx="34">
                  <c:v>1330.5207981744095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F-464B-B8FC-F386046BB9B9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Data'!$H$223:$BU$223</c:f>
              <c:numCache>
                <c:formatCode>0</c:formatCode>
                <c:ptCount val="66"/>
                <c:pt idx="34">
                  <c:v>1330.5207981744095</c:v>
                </c:pt>
                <c:pt idx="35">
                  <c:v>1382.3999556710871</c:v>
                </c:pt>
                <c:pt idx="36">
                  <c:v>1431.677531657499</c:v>
                </c:pt>
                <c:pt idx="37">
                  <c:v>1479.6751138063469</c:v>
                </c:pt>
                <c:pt idx="38">
                  <c:v>1526.0748829048159</c:v>
                </c:pt>
                <c:pt idx="39">
                  <c:v>1571.508764676136</c:v>
                </c:pt>
                <c:pt idx="40">
                  <c:v>1615.9698825922655</c:v>
                </c:pt>
                <c:pt idx="41">
                  <c:v>1628.5287272798437</c:v>
                </c:pt>
                <c:pt idx="42">
                  <c:v>1645.3859177825927</c:v>
                </c:pt>
                <c:pt idx="43">
                  <c:v>1660.0079790471648</c:v>
                </c:pt>
                <c:pt idx="44">
                  <c:v>1672.9570922270614</c:v>
                </c:pt>
                <c:pt idx="45">
                  <c:v>1684.7703220380822</c:v>
                </c:pt>
                <c:pt idx="46">
                  <c:v>1695.3251363460367</c:v>
                </c:pt>
                <c:pt idx="47">
                  <c:v>1704.5000444310808</c:v>
                </c:pt>
                <c:pt idx="48">
                  <c:v>1711.7982821281821</c:v>
                </c:pt>
                <c:pt idx="49">
                  <c:v>1717.0620186193</c:v>
                </c:pt>
                <c:pt idx="50">
                  <c:v>1720.4114601629144</c:v>
                </c:pt>
                <c:pt idx="51">
                  <c:v>1720.6989988375583</c:v>
                </c:pt>
                <c:pt idx="52">
                  <c:v>1718.6354921415373</c:v>
                </c:pt>
                <c:pt idx="53">
                  <c:v>1714.0256002009619</c:v>
                </c:pt>
                <c:pt idx="54">
                  <c:v>1706.765368975038</c:v>
                </c:pt>
                <c:pt idx="55">
                  <c:v>1696.7063915810299</c:v>
                </c:pt>
                <c:pt idx="56">
                  <c:v>1683.9617612220206</c:v>
                </c:pt>
                <c:pt idx="57">
                  <c:v>1668.6283354219756</c:v>
                </c:pt>
                <c:pt idx="58">
                  <c:v>1650.9942988441426</c:v>
                </c:pt>
                <c:pt idx="59">
                  <c:v>1631.3157041861632</c:v>
                </c:pt>
                <c:pt idx="60">
                  <c:v>1611.1471735864218</c:v>
                </c:pt>
                <c:pt idx="61">
                  <c:v>1587.4764571737703</c:v>
                </c:pt>
                <c:pt idx="62">
                  <c:v>1564.1663099809805</c:v>
                </c:pt>
                <c:pt idx="63">
                  <c:v>1541.1287304700868</c:v>
                </c:pt>
                <c:pt idx="64">
                  <c:v>1519.7474352944262</c:v>
                </c:pt>
                <c:pt idx="65">
                  <c:v>1499.6012269248697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F-464B-B8FC-F386046BB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581702898550718"/>
          <c:y val="0.40326435185185183"/>
          <c:w val="0.21421455977525064"/>
          <c:h val="0.1864308554587263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4542076847821939"/>
          <c:h val="0.88088796296296301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A-4737-B5F6-82AF82752BD8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A-4737-B5F6-82AF82752BD8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5A-4737-B5F6-82AF82752BD8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5A-4737-B5F6-82AF82752BD8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A-4737-B5F6-82AF82752BD8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BDB4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5A-4737-B5F6-82AF82752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5734918893385"/>
          <c:y val="0.28980092592592593"/>
          <c:w val="0.22858632946716753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37-4A6C-AB35-58EBF741833A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37-4A6C-AB35-58EBF741833A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37-4A6C-AB35-58EBF74183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37-4A6C-AB35-58EBF741833A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37-4A6C-AB35-58EBF741833A}"/>
              </c:ext>
            </c:extLst>
          </c:dPt>
          <c:cat>
            <c:strRef>
              <c:f>'Losun | Emissions'!$E$548:$E$552</c:f>
              <c:strCache>
                <c:ptCount val="5"/>
                <c:pt idx="0">
                  <c:v>Skógar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Önnur losun</c:v>
                </c:pt>
              </c:strCache>
            </c:strRef>
          </c:cat>
          <c:val>
            <c:numRef>
              <c:f>'Losun | Emissions'!$F$548:$F$552</c:f>
              <c:numCache>
                <c:formatCode>0</c:formatCode>
                <c:ptCount val="5"/>
                <c:pt idx="0">
                  <c:v>-548.98804168208767</c:v>
                </c:pt>
                <c:pt idx="1">
                  <c:v>1904.8811133888019</c:v>
                </c:pt>
                <c:pt idx="2">
                  <c:v>4860.0545959973206</c:v>
                </c:pt>
                <c:pt idx="3">
                  <c:v>17.217344451352297</c:v>
                </c:pt>
                <c:pt idx="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37-4A6C-AB35-58EBF741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Data'!$H$204:$AV$204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E-4999-94D4-23AA44BA90AC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Data'!$H$211:$BU$211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E-4999-94D4-23AA44BA9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65736714975849"/>
          <c:y val="0.42449999999999993"/>
          <c:w val="0.19446219806763285"/>
          <c:h val="0.17765162037037038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64551477667613266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Data'!$H$200:$AV$200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8-42B3-9D83-FB486CC270B7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Data'!$H$203:$AV$203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2B3-9D83-FB486CC270B7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Data'!$H$202:$AV$202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8-42B3-9D83-FB486CC270B7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78-42B3-9D83-FB486CC270B7}"/>
            </c:ext>
          </c:extLst>
        </c:ser>
        <c:ser>
          <c:idx val="7"/>
          <c:order val="4"/>
          <c:tx>
            <c:v>Urðun WEM</c:v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Data'!$H$207:$BU$207</c:f>
              <c:numCache>
                <c:formatCode>0</c:formatCode>
                <c:ptCount val="66"/>
                <c:pt idx="34">
                  <c:v>203.07062729519799</c:v>
                </c:pt>
                <c:pt idx="35">
                  <c:v>178.79107951336425</c:v>
                </c:pt>
                <c:pt idx="36">
                  <c:v>159.81300051699296</c:v>
                </c:pt>
                <c:pt idx="37">
                  <c:v>144.98238063804763</c:v>
                </c:pt>
                <c:pt idx="38">
                  <c:v>134.49042188831581</c:v>
                </c:pt>
                <c:pt idx="39">
                  <c:v>127.48817032659397</c:v>
                </c:pt>
                <c:pt idx="40">
                  <c:v>120.85159868610157</c:v>
                </c:pt>
                <c:pt idx="41">
                  <c:v>112.05789132782155</c:v>
                </c:pt>
                <c:pt idx="42">
                  <c:v>105.85914744231248</c:v>
                </c:pt>
                <c:pt idx="43">
                  <c:v>100.56944105960585</c:v>
                </c:pt>
                <c:pt idx="44">
                  <c:v>96.090677732388286</c:v>
                </c:pt>
                <c:pt idx="45">
                  <c:v>90.464564398576357</c:v>
                </c:pt>
                <c:pt idx="46">
                  <c:v>83.986919572186281</c:v>
                </c:pt>
                <c:pt idx="47">
                  <c:v>78.084648440059851</c:v>
                </c:pt>
                <c:pt idx="48">
                  <c:v>72.6975340762652</c:v>
                </c:pt>
                <c:pt idx="49">
                  <c:v>67.772534606892805</c:v>
                </c:pt>
                <c:pt idx="50">
                  <c:v>63.262842571706415</c:v>
                </c:pt>
                <c:pt idx="51">
                  <c:v>59.127076318197325</c:v>
                </c:pt>
                <c:pt idx="52">
                  <c:v>55.328583954464186</c:v>
                </c:pt>
                <c:pt idx="53">
                  <c:v>51.834843366728308</c:v>
                </c:pt>
                <c:pt idx="54">
                  <c:v>48.616944318220511</c:v>
                </c:pt>
                <c:pt idx="55">
                  <c:v>45.649140763806258</c:v>
                </c:pt>
                <c:pt idx="56">
                  <c:v>42.908463301973242</c:v>
                </c:pt>
                <c:pt idx="57">
                  <c:v>40.374383195392319</c:v>
                </c:pt>
                <c:pt idx="58">
                  <c:v>38.028520667329616</c:v>
                </c:pt>
                <c:pt idx="59">
                  <c:v>35.854391260746922</c:v>
                </c:pt>
                <c:pt idx="60">
                  <c:v>33.837184961017314</c:v>
                </c:pt>
                <c:pt idx="61">
                  <c:v>31.963573557845066</c:v>
                </c:pt>
                <c:pt idx="62">
                  <c:v>30.221542379074155</c:v>
                </c:pt>
                <c:pt idx="63">
                  <c:v>28.600243086960653</c:v>
                </c:pt>
                <c:pt idx="64">
                  <c:v>27.08986470160194</c:v>
                </c:pt>
                <c:pt idx="65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78-42B3-9D83-FB486CC270B7}"/>
            </c:ext>
          </c:extLst>
        </c:ser>
        <c:ser>
          <c:idx val="8"/>
          <c:order val="5"/>
          <c:tx>
            <c:v>Jarðgerð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Data'!$H$208:$BU$208</c:f>
              <c:numCache>
                <c:formatCode>0</c:formatCode>
                <c:ptCount val="66"/>
                <c:pt idx="34">
                  <c:v>6.6237543773473622</c:v>
                </c:pt>
                <c:pt idx="35" formatCode="0.0">
                  <c:v>5.5181043178769995</c:v>
                </c:pt>
                <c:pt idx="36" formatCode="0.0">
                  <c:v>5.5739152964701431</c:v>
                </c:pt>
                <c:pt idx="37" formatCode="0.0">
                  <c:v>5.7982492112897681</c:v>
                </c:pt>
                <c:pt idx="38" formatCode="0.0">
                  <c:v>6.0225831261093923</c:v>
                </c:pt>
                <c:pt idx="39" formatCode="0.0">
                  <c:v>6.2469170409290173</c:v>
                </c:pt>
                <c:pt idx="40" formatCode="0.0">
                  <c:v>6.4712509557486424</c:v>
                </c:pt>
                <c:pt idx="41" formatCode="0.0">
                  <c:v>6.6397738919751239</c:v>
                </c:pt>
                <c:pt idx="42" formatCode="0.0">
                  <c:v>6.8082968282016045</c:v>
                </c:pt>
                <c:pt idx="43" formatCode="0.0">
                  <c:v>6.9768197644280869</c:v>
                </c:pt>
                <c:pt idx="44" formatCode="0.0">
                  <c:v>7.1453427006545684</c:v>
                </c:pt>
                <c:pt idx="45" formatCode="0.0">
                  <c:v>7.31386563688105</c:v>
                </c:pt>
                <c:pt idx="46" formatCode="0.0">
                  <c:v>7.4823885731075306</c:v>
                </c:pt>
                <c:pt idx="47" formatCode="0.0">
                  <c:v>7.650911509334013</c:v>
                </c:pt>
                <c:pt idx="48" formatCode="0.0">
                  <c:v>7.8194344455604936</c:v>
                </c:pt>
                <c:pt idx="49" formatCode="0.0">
                  <c:v>7.987957381786976</c:v>
                </c:pt>
                <c:pt idx="50" formatCode="0.0">
                  <c:v>8.1564803180134575</c:v>
                </c:pt>
                <c:pt idx="51" formatCode="0.0">
                  <c:v>8.3250032542399381</c:v>
                </c:pt>
                <c:pt idx="52" formatCode="0.0">
                  <c:v>8.4935261904664188</c:v>
                </c:pt>
                <c:pt idx="53" formatCode="0.0">
                  <c:v>8.6620491266928994</c:v>
                </c:pt>
                <c:pt idx="54" formatCode="0.0">
                  <c:v>8.83057206291938</c:v>
                </c:pt>
                <c:pt idx="55" formatCode="0.0">
                  <c:v>8.9990949991458642</c:v>
                </c:pt>
                <c:pt idx="56" formatCode="0.0">
                  <c:v>9.1676179353723448</c:v>
                </c:pt>
                <c:pt idx="57" formatCode="0.0">
                  <c:v>9.3361408715988254</c:v>
                </c:pt>
                <c:pt idx="58" formatCode="0.0">
                  <c:v>9.5046638078253061</c:v>
                </c:pt>
                <c:pt idx="59" formatCode="0.0">
                  <c:v>9.6731867440517902</c:v>
                </c:pt>
                <c:pt idx="60" formatCode="0.0">
                  <c:v>9.8417096802782673</c:v>
                </c:pt>
                <c:pt idx="61" formatCode="0.0">
                  <c:v>10.010232616504751</c:v>
                </c:pt>
                <c:pt idx="62" formatCode="0.0">
                  <c:v>10.178755552731232</c:v>
                </c:pt>
                <c:pt idx="63" formatCode="0.0">
                  <c:v>10.347278488957716</c:v>
                </c:pt>
                <c:pt idx="64" formatCode="0.0">
                  <c:v>10.515801425184193</c:v>
                </c:pt>
                <c:pt idx="65" formatCode="0.0">
                  <c:v>10.684324361410678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78-42B3-9D83-FB486CC270B7}"/>
            </c:ext>
          </c:extLst>
        </c:ser>
        <c:ser>
          <c:idx val="9"/>
          <c:order val="6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Data'!$H$209:$BU$209</c:f>
              <c:numCache>
                <c:formatCode>0</c:formatCode>
                <c:ptCount val="66"/>
                <c:pt idx="34">
                  <c:v>7.4720719590998144</c:v>
                </c:pt>
                <c:pt idx="35" formatCode="0.0">
                  <c:v>7.1893543197707608</c:v>
                </c:pt>
                <c:pt idx="36" formatCode="0.0">
                  <c:v>7.1893543197707608</c:v>
                </c:pt>
                <c:pt idx="37" formatCode="0.0">
                  <c:v>7.1893543197707608</c:v>
                </c:pt>
                <c:pt idx="38" formatCode="0.0">
                  <c:v>7.1893543197707608</c:v>
                </c:pt>
                <c:pt idx="39" formatCode="0.0">
                  <c:v>7.1893543197707608</c:v>
                </c:pt>
                <c:pt idx="40" formatCode="0.0">
                  <c:v>7.1893543197707608</c:v>
                </c:pt>
                <c:pt idx="41" formatCode="0.0">
                  <c:v>7.1893543197707608</c:v>
                </c:pt>
                <c:pt idx="42" formatCode="0.0">
                  <c:v>7.1893543197707608</c:v>
                </c:pt>
                <c:pt idx="43" formatCode="0.0">
                  <c:v>7.1893543197707608</c:v>
                </c:pt>
                <c:pt idx="44" formatCode="0.0">
                  <c:v>7.1893543197707608</c:v>
                </c:pt>
                <c:pt idx="45" formatCode="0.0">
                  <c:v>7.1893543197707608</c:v>
                </c:pt>
                <c:pt idx="46" formatCode="0.0">
                  <c:v>7.1893543197707608</c:v>
                </c:pt>
                <c:pt idx="47" formatCode="0.0">
                  <c:v>7.1893543197707608</c:v>
                </c:pt>
                <c:pt idx="48" formatCode="0.0">
                  <c:v>7.1893543197707608</c:v>
                </c:pt>
                <c:pt idx="49" formatCode="0.0">
                  <c:v>7.1893543197707608</c:v>
                </c:pt>
                <c:pt idx="50" formatCode="0.0">
                  <c:v>7.1893543197707608</c:v>
                </c:pt>
                <c:pt idx="51" formatCode="0.0">
                  <c:v>7.1893543197707608</c:v>
                </c:pt>
                <c:pt idx="52" formatCode="0.0">
                  <c:v>7.1893543197707608</c:v>
                </c:pt>
                <c:pt idx="53" formatCode="0.0">
                  <c:v>7.1893543197707608</c:v>
                </c:pt>
                <c:pt idx="54" formatCode="0.0">
                  <c:v>7.1893543197707608</c:v>
                </c:pt>
                <c:pt idx="55" formatCode="0.0">
                  <c:v>7.1893543197707608</c:v>
                </c:pt>
                <c:pt idx="56" formatCode="0.0">
                  <c:v>7.1893543197707608</c:v>
                </c:pt>
                <c:pt idx="57" formatCode="0.0">
                  <c:v>7.1893543197707608</c:v>
                </c:pt>
                <c:pt idx="58" formatCode="0.0">
                  <c:v>7.1893543197707608</c:v>
                </c:pt>
                <c:pt idx="59" formatCode="0.0">
                  <c:v>7.1893543197707608</c:v>
                </c:pt>
                <c:pt idx="60" formatCode="0.0">
                  <c:v>7.1893543197707608</c:v>
                </c:pt>
                <c:pt idx="61" formatCode="0.0">
                  <c:v>7.1893543197707608</c:v>
                </c:pt>
                <c:pt idx="62" formatCode="0.0">
                  <c:v>7.1893543197707608</c:v>
                </c:pt>
                <c:pt idx="63" formatCode="0.0">
                  <c:v>7.1893543197707608</c:v>
                </c:pt>
                <c:pt idx="64" formatCode="0.0">
                  <c:v>7.1893543197707608</c:v>
                </c:pt>
                <c:pt idx="65" formatCode="0.0">
                  <c:v>7.1893543197707608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78-42B3-9D83-FB486CC270B7}"/>
            </c:ext>
          </c:extLst>
        </c:ser>
        <c:ser>
          <c:idx val="10"/>
          <c:order val="7"/>
          <c:tx>
            <c:v>Fráveita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4">
                  <c:v>21.133487460058902</c:v>
                </c:pt>
                <c:pt idx="35">
                  <c:v>20.986771314669053</c:v>
                </c:pt>
                <c:pt idx="36">
                  <c:v>21.296903620412582</c:v>
                </c:pt>
                <c:pt idx="37">
                  <c:v>21.604888684901184</c:v>
                </c:pt>
                <c:pt idx="38">
                  <c:v>21.909386700655752</c:v>
                </c:pt>
                <c:pt idx="39">
                  <c:v>22.211301254459542</c:v>
                </c:pt>
                <c:pt idx="40">
                  <c:v>22.510663501999069</c:v>
                </c:pt>
                <c:pt idx="41">
                  <c:v>22.771411815898531</c:v>
                </c:pt>
                <c:pt idx="42">
                  <c:v>23.026741954499226</c:v>
                </c:pt>
                <c:pt idx="43">
                  <c:v>23.27525179383381</c:v>
                </c:pt>
                <c:pt idx="44">
                  <c:v>23.519776732427079</c:v>
                </c:pt>
                <c:pt idx="45">
                  <c:v>23.760347925984444</c:v>
                </c:pt>
                <c:pt idx="46">
                  <c:v>23.997276954497348</c:v>
                </c:pt>
                <c:pt idx="47">
                  <c:v>24.227759572602015</c:v>
                </c:pt>
                <c:pt idx="48">
                  <c:v>24.451079137928868</c:v>
                </c:pt>
                <c:pt idx="49">
                  <c:v>24.668887035385055</c:v>
                </c:pt>
                <c:pt idx="50">
                  <c:v>24.875979834091442</c:v>
                </c:pt>
                <c:pt idx="51">
                  <c:v>25.076658538944717</c:v>
                </c:pt>
                <c:pt idx="52">
                  <c:v>25.272626998092598</c:v>
                </c:pt>
                <c:pt idx="53">
                  <c:v>25.459710003035628</c:v>
                </c:pt>
                <c:pt idx="54">
                  <c:v>25.639901679488922</c:v>
                </c:pt>
                <c:pt idx="55">
                  <c:v>25.812298435587422</c:v>
                </c:pt>
                <c:pt idx="56">
                  <c:v>25.979081346575157</c:v>
                </c:pt>
                <c:pt idx="57">
                  <c:v>26.137788907914896</c:v>
                </c:pt>
                <c:pt idx="58">
                  <c:v>26.276892563278263</c:v>
                </c:pt>
                <c:pt idx="59">
                  <c:v>26.411379430145949</c:v>
                </c:pt>
                <c:pt idx="60">
                  <c:v>26.539442327317111</c:v>
                </c:pt>
                <c:pt idx="61">
                  <c:v>26.653204555176945</c:v>
                </c:pt>
                <c:pt idx="62">
                  <c:v>26.758942499938904</c:v>
                </c:pt>
                <c:pt idx="63">
                  <c:v>26.859460401944425</c:v>
                </c:pt>
                <c:pt idx="64">
                  <c:v>26.95566184806956</c:v>
                </c:pt>
                <c:pt idx="65">
                  <c:v>27.039414531652774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78-42B3-9D83-FB486CC2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5565064989638786"/>
          <c:y val="0.34614814814814815"/>
          <c:w val="0.21863768942262518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1999567160661"/>
          <c:y val="8.9189796939604937E-2"/>
          <c:w val="0.4425125047437507"/>
          <c:h val="0.80975822874341008"/>
        </c:manualLayout>
      </c:layout>
      <c:doughnut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8-4EB1-881D-C9DD7FDFC73D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28-4EB1-881D-C9DD7FDFC73D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28-4EB1-881D-C9DD7FDFC73D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8-4EB1-881D-C9DD7FDFC73D}"/>
              </c:ext>
            </c:extLst>
          </c:dPt>
          <c:dLbls>
            <c:dLbl>
              <c:idx val="0"/>
              <c:layout>
                <c:manualLayout>
                  <c:x val="-0.3408161689982348"/>
                  <c:y val="0.13015517269158641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CA3378-0990-4D43-AB65-2DA8B490068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EFA0DF0-0B2F-431A-9E7E-759C2BC5DECD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91D3CC0-0B78-427B-B747-2AB30309D74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D28-4EB1-881D-C9DD7FDFC73D}"/>
                </c:ext>
              </c:extLst>
            </c:dLbl>
            <c:dLbl>
              <c:idx val="1"/>
              <c:layout>
                <c:manualLayout>
                  <c:x val="-0.27521075976863152"/>
                  <c:y val="-0.11174906637892325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Enteric Fermentation</a:t>
                    </a:r>
                  </a:p>
                  <a:p>
                    <a:fld id="{ED408053-769C-4AA3-9FA1-ABE7486722A3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000" b="0"/>
                      <a:t>43%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78574112480484"/>
                      <c:h val="0.184776062873276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D28-4EB1-881D-C9DD7FDFC73D}"/>
                </c:ext>
              </c:extLst>
            </c:dLbl>
            <c:dLbl>
              <c:idx val="2"/>
              <c:layout>
                <c:manualLayout>
                  <c:x val="0.26202075477355313"/>
                  <c:y val="-0.12840118164099212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5AF9D187-0CC8-46D6-A529-675154DCAD67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A276227C-079D-406C-91B4-450DE1557FC5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228021815031548"/>
                      <c:h val="0.1908549617643260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D28-4EB1-881D-C9DD7FDFC73D}"/>
                </c:ext>
              </c:extLst>
            </c:dLbl>
            <c:dLbl>
              <c:idx val="3"/>
              <c:layout>
                <c:manualLayout>
                  <c:x val="0.27391883640480558"/>
                  <c:y val="8.115186947426833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65A4821-D099-4718-8019-D11A044D48C6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DDB8585-06F9-441B-9004-FE1ACC1D30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72478462032006"/>
                      <c:h val="0.236610975923282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D28-4EB1-881D-C9DD7FDFC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Emissions'!$AG$425:$AG$428</c:f>
              <c:strCache>
                <c:ptCount val="4"/>
                <c:pt idx="0">
                  <c:v>Agricultural Soils</c:v>
                </c:pt>
                <c:pt idx="1">
                  <c:v>Enteric Fermentation</c:v>
                </c:pt>
                <c:pt idx="2">
                  <c:v>Manure Management</c:v>
                </c:pt>
                <c:pt idx="3">
                  <c:v>Liming and CO₂-Emissions from Fertilizers</c:v>
                </c:pt>
              </c:strCache>
            </c:strRef>
          </c:cat>
          <c:val>
            <c:numRef>
              <c:f>'Losun | Emissions'!$F$425:$F$428</c:f>
              <c:numCache>
                <c:formatCode>0</c:formatCode>
                <c:ptCount val="4"/>
                <c:pt idx="0">
                  <c:v>322.41304134971909</c:v>
                </c:pt>
                <c:pt idx="1">
                  <c:v>275.28975195546064</c:v>
                </c:pt>
                <c:pt idx="2">
                  <c:v>65.110184810742581</c:v>
                </c:pt>
                <c:pt idx="3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28-4EB1-881D-C9DD7FDFC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7-4B8D-B064-54D17A726C5C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17-4B8D-B064-54D17A726C5C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17-4B8D-B064-54D17A726C5C}"/>
              </c:ext>
            </c:extLst>
          </c:dPt>
          <c:dPt>
            <c:idx val="3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7-4B8D-B064-54D17A726C5C}"/>
              </c:ext>
            </c:extLst>
          </c:dPt>
          <c:dPt>
            <c:idx val="4"/>
            <c:bubble3D val="0"/>
            <c:spPr>
              <a:solidFill>
                <a:srgbClr val="3C72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717-4B8D-B064-54D17A726C5C}"/>
              </c:ext>
            </c:extLst>
          </c:dPt>
          <c:dPt>
            <c:idx val="5"/>
            <c:bubble3D val="0"/>
            <c:spPr>
              <a:solidFill>
                <a:srgbClr val="BDB4B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17-4B8D-B064-54D17A726C5C}"/>
              </c:ext>
            </c:extLst>
          </c:dPt>
          <c:dLbls>
            <c:dLbl>
              <c:idx val="0"/>
              <c:layout>
                <c:manualLayout>
                  <c:x val="0.23075949250366345"/>
                  <c:y val="0.12179506480417536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1112374736"/>
                      <c:h val="0.191275074579243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717-4B8D-B064-54D17A726C5C}"/>
                </c:ext>
              </c:extLst>
            </c:dLbl>
            <c:dLbl>
              <c:idx val="1"/>
              <c:layout>
                <c:manualLayout>
                  <c:x val="-0.22663859878858936"/>
                  <c:y val="3.9918304611635487E-2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717-4B8D-B064-54D17A726C5C}"/>
                </c:ext>
              </c:extLst>
            </c:dLbl>
            <c:dLbl>
              <c:idx val="2"/>
              <c:layout>
                <c:manualLayout>
                  <c:x val="-0.23275053680649635"/>
                  <c:y val="-0.1680626715392628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717-4B8D-B064-54D17A726C5C}"/>
                </c:ext>
              </c:extLst>
            </c:dLbl>
            <c:dLbl>
              <c:idx val="3"/>
              <c:layout>
                <c:manualLayout>
                  <c:x val="0.21025885267119285"/>
                  <c:y val="-0.17394266355140686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096730699235446"/>
                      <c:h val="0.1929973818781715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717-4B8D-B064-54D17A726C5C}"/>
                </c:ext>
              </c:extLst>
            </c:dLbl>
            <c:dLbl>
              <c:idx val="4"/>
              <c:layout>
                <c:manualLayout>
                  <c:x val="0.26341763617297753"/>
                  <c:y val="-0.11065804434900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717-4B8D-B064-54D17A726C5C}"/>
                </c:ext>
              </c:extLst>
            </c:dLbl>
            <c:dLbl>
              <c:idx val="5"/>
              <c:layout>
                <c:manualLayout>
                  <c:x val="0.24437798861053051"/>
                  <c:y val="4.399622115774431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7717-4B8D-B064-54D17A726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Emissions'!$AG$435:$AG$440</c:f>
              <c:strCache>
                <c:ptCount val="6"/>
                <c:pt idx="0">
                  <c:v>Cultivation of Organic Soils (N₂O)</c:v>
                </c:pt>
                <c:pt idx="1">
                  <c:v>Cattle</c:v>
                </c:pt>
                <c:pt idx="2">
                  <c:v>Sheep</c:v>
                </c:pt>
                <c:pt idx="3">
                  <c:v>Fertilizer Use in Agriculture</c:v>
                </c:pt>
                <c:pt idx="4">
                  <c:v>Horses</c:v>
                </c:pt>
                <c:pt idx="5">
                  <c:v>Other Emissions</c:v>
                </c:pt>
              </c:strCache>
            </c:strRef>
          </c:cat>
          <c:val>
            <c:numRef>
              <c:f>'Losun | Emissions'!$F$435:$F$440</c:f>
              <c:numCache>
                <c:formatCode>0</c:formatCode>
                <c:ptCount val="6"/>
                <c:pt idx="0">
                  <c:v>198.59147831329477</c:v>
                </c:pt>
                <c:pt idx="1">
                  <c:v>169.57799558750742</c:v>
                </c:pt>
                <c:pt idx="2">
                  <c:v>125.94372494955719</c:v>
                </c:pt>
                <c:pt idx="3">
                  <c:v>130.29124808623394</c:v>
                </c:pt>
                <c:pt idx="4">
                  <c:v>24.817131861593037</c:v>
                </c:pt>
                <c:pt idx="5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17-4B8D-B064-54D17A72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4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713276588747125"/>
          <c:y val="0.10037870405362004"/>
          <c:w val="0.46487433487944474"/>
          <c:h val="0.81089760944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A-4B22-B96D-509E1BAE966C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DA-4B22-B96D-509E1BAE966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DA-4B22-B96D-509E1BAE966C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DA-4B22-B96D-509E1BAE966C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C96FB7D-4611-4413-A89B-C9595055433E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03D148E-BFC3-46AB-9C21-92A08784A688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1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721F7C8-4257-4D13-A026-1BFE3281E2FD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1DA-4B22-B96D-509E1BAE966C}"/>
                </c:ext>
              </c:extLst>
            </c:dLbl>
            <c:dLbl>
              <c:idx val="1"/>
              <c:layout>
                <c:manualLayout>
                  <c:x val="-0.24776510162855331"/>
                  <c:y val="0.1021787446027543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1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1DA-4B22-B96D-509E1BAE966C}"/>
                </c:ext>
              </c:extLst>
            </c:dLbl>
            <c:dLbl>
              <c:idx val="2"/>
              <c:layout>
                <c:manualLayout>
                  <c:x val="-0.25582399498671532"/>
                  <c:y val="-1.1997720778813035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1DA-4B22-B96D-509E1BAE966C}"/>
                </c:ext>
              </c:extLst>
            </c:dLbl>
            <c:dLbl>
              <c:idx val="3"/>
              <c:layout>
                <c:manualLayout>
                  <c:x val="-0.26960084777497278"/>
                  <c:y val="-0.27628480491544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1DA-4B22-B96D-509E1BAE9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Emissions'!$AG$341:$AG$344</c:f>
              <c:strCache>
                <c:ptCount val="4"/>
                <c:pt idx="0">
                  <c:v>Aluminium Production</c:v>
                </c:pt>
                <c:pt idx="1">
                  <c:v>Ferrosilicon and Silicon Metal Production</c:v>
                </c:pt>
                <c:pt idx="2">
                  <c:v>F-Gases</c:v>
                </c:pt>
                <c:pt idx="3">
                  <c:v>Other Emissions</c:v>
                </c:pt>
              </c:strCache>
            </c:strRef>
          </c:cat>
          <c:val>
            <c:numRef>
              <c:f>'Losun | Emissions'!$F$341:$F$344</c:f>
              <c:numCache>
                <c:formatCode>0</c:formatCode>
                <c:ptCount val="4"/>
                <c:pt idx="0">
                  <c:v>1360.4102725798757</c:v>
                </c:pt>
                <c:pt idx="1">
                  <c:v>527.31915978550001</c:v>
                </c:pt>
                <c:pt idx="2">
                  <c:v>107.78462088442339</c:v>
                </c:pt>
                <c:pt idx="3">
                  <c:v>11.079378686252676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A-4B22-B96D-509E1BAE9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55413819564927269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Data'!$E$112</c:f>
              <c:strCache>
                <c:ptCount val="1"/>
                <c:pt idx="0">
                  <c:v>Agricultural Soils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C-448F-8A86-141586B35279}"/>
            </c:ext>
          </c:extLst>
        </c:ser>
        <c:ser>
          <c:idx val="0"/>
          <c:order val="1"/>
          <c:tx>
            <c:strRef>
              <c:f>'Talnagögn | Numerical Data'!$E$110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C-448F-8A86-141586B35279}"/>
            </c:ext>
          </c:extLst>
        </c:ser>
        <c:ser>
          <c:idx val="1"/>
          <c:order val="2"/>
          <c:tx>
            <c:strRef>
              <c:f>'Talnagögn | Numerical Data'!$E$111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C-448F-8A86-141586B35279}"/>
            </c:ext>
          </c:extLst>
        </c:ser>
        <c:ser>
          <c:idx val="3"/>
          <c:order val="3"/>
          <c:tx>
            <c:strRef>
              <c:f>'Talnagögn | Numerical Data'!$E$113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C-448F-8A86-141586B35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080508474576271"/>
          <c:y val="0.3579074074074074"/>
          <c:w val="0.29693502824858758"/>
          <c:h val="0.304763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1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1.xml"/><Relationship Id="rId21" Type="http://schemas.openxmlformats.org/officeDocument/2006/relationships/chart" Target="../charts/chart76.xml"/><Relationship Id="rId42" Type="http://schemas.openxmlformats.org/officeDocument/2006/relationships/chart" Target="../charts/chart97.xml"/><Relationship Id="rId47" Type="http://schemas.openxmlformats.org/officeDocument/2006/relationships/chart" Target="../charts/chart102.xml"/><Relationship Id="rId63" Type="http://schemas.openxmlformats.org/officeDocument/2006/relationships/chart" Target="../charts/chart118.xml"/><Relationship Id="rId68" Type="http://schemas.openxmlformats.org/officeDocument/2006/relationships/chart" Target="../charts/chart123.xml"/><Relationship Id="rId84" Type="http://schemas.openxmlformats.org/officeDocument/2006/relationships/chart" Target="../charts/chart139.xml"/><Relationship Id="rId89" Type="http://schemas.openxmlformats.org/officeDocument/2006/relationships/chart" Target="../charts/chart144.xml"/><Relationship Id="rId2" Type="http://schemas.openxmlformats.org/officeDocument/2006/relationships/chart" Target="../charts/chart57.xml"/><Relationship Id="rId16" Type="http://schemas.openxmlformats.org/officeDocument/2006/relationships/chart" Target="../charts/chart71.xml"/><Relationship Id="rId29" Type="http://schemas.openxmlformats.org/officeDocument/2006/relationships/chart" Target="../charts/chart84.xml"/><Relationship Id="rId107" Type="http://schemas.openxmlformats.org/officeDocument/2006/relationships/chart" Target="../charts/chart162.xml"/><Relationship Id="rId11" Type="http://schemas.openxmlformats.org/officeDocument/2006/relationships/chart" Target="../charts/chart66.xml"/><Relationship Id="rId24" Type="http://schemas.openxmlformats.org/officeDocument/2006/relationships/chart" Target="../charts/chart79.xml"/><Relationship Id="rId32" Type="http://schemas.openxmlformats.org/officeDocument/2006/relationships/chart" Target="../charts/chart87.xml"/><Relationship Id="rId37" Type="http://schemas.openxmlformats.org/officeDocument/2006/relationships/chart" Target="../charts/chart92.xml"/><Relationship Id="rId40" Type="http://schemas.openxmlformats.org/officeDocument/2006/relationships/chart" Target="../charts/chart95.xml"/><Relationship Id="rId45" Type="http://schemas.openxmlformats.org/officeDocument/2006/relationships/chart" Target="../charts/chart100.xml"/><Relationship Id="rId53" Type="http://schemas.openxmlformats.org/officeDocument/2006/relationships/chart" Target="../charts/chart108.xml"/><Relationship Id="rId58" Type="http://schemas.openxmlformats.org/officeDocument/2006/relationships/chart" Target="../charts/chart113.xml"/><Relationship Id="rId66" Type="http://schemas.openxmlformats.org/officeDocument/2006/relationships/chart" Target="../charts/chart121.xml"/><Relationship Id="rId74" Type="http://schemas.openxmlformats.org/officeDocument/2006/relationships/chart" Target="../charts/chart129.xml"/><Relationship Id="rId79" Type="http://schemas.openxmlformats.org/officeDocument/2006/relationships/chart" Target="../charts/chart134.xml"/><Relationship Id="rId87" Type="http://schemas.openxmlformats.org/officeDocument/2006/relationships/chart" Target="../charts/chart142.xml"/><Relationship Id="rId102" Type="http://schemas.openxmlformats.org/officeDocument/2006/relationships/chart" Target="../charts/chart157.xml"/><Relationship Id="rId110" Type="http://schemas.openxmlformats.org/officeDocument/2006/relationships/chart" Target="../charts/chart165.xml"/><Relationship Id="rId5" Type="http://schemas.openxmlformats.org/officeDocument/2006/relationships/chart" Target="../charts/chart60.xml"/><Relationship Id="rId61" Type="http://schemas.openxmlformats.org/officeDocument/2006/relationships/chart" Target="../charts/chart116.xml"/><Relationship Id="rId82" Type="http://schemas.openxmlformats.org/officeDocument/2006/relationships/chart" Target="../charts/chart137.xml"/><Relationship Id="rId90" Type="http://schemas.openxmlformats.org/officeDocument/2006/relationships/chart" Target="../charts/chart145.xml"/><Relationship Id="rId95" Type="http://schemas.openxmlformats.org/officeDocument/2006/relationships/chart" Target="../charts/chart150.xml"/><Relationship Id="rId19" Type="http://schemas.openxmlformats.org/officeDocument/2006/relationships/chart" Target="../charts/chart74.xml"/><Relationship Id="rId14" Type="http://schemas.openxmlformats.org/officeDocument/2006/relationships/chart" Target="../charts/chart69.xml"/><Relationship Id="rId22" Type="http://schemas.openxmlformats.org/officeDocument/2006/relationships/chart" Target="../charts/chart77.xml"/><Relationship Id="rId27" Type="http://schemas.openxmlformats.org/officeDocument/2006/relationships/chart" Target="../charts/chart82.xml"/><Relationship Id="rId30" Type="http://schemas.openxmlformats.org/officeDocument/2006/relationships/chart" Target="../charts/chart85.xml"/><Relationship Id="rId35" Type="http://schemas.openxmlformats.org/officeDocument/2006/relationships/chart" Target="../charts/chart90.xml"/><Relationship Id="rId43" Type="http://schemas.openxmlformats.org/officeDocument/2006/relationships/chart" Target="../charts/chart98.xml"/><Relationship Id="rId48" Type="http://schemas.openxmlformats.org/officeDocument/2006/relationships/chart" Target="../charts/chart103.xml"/><Relationship Id="rId56" Type="http://schemas.openxmlformats.org/officeDocument/2006/relationships/chart" Target="../charts/chart111.xml"/><Relationship Id="rId64" Type="http://schemas.openxmlformats.org/officeDocument/2006/relationships/chart" Target="../charts/chart119.xml"/><Relationship Id="rId69" Type="http://schemas.openxmlformats.org/officeDocument/2006/relationships/chart" Target="../charts/chart124.xml"/><Relationship Id="rId77" Type="http://schemas.openxmlformats.org/officeDocument/2006/relationships/chart" Target="../charts/chart132.xml"/><Relationship Id="rId100" Type="http://schemas.openxmlformats.org/officeDocument/2006/relationships/chart" Target="../charts/chart155.xml"/><Relationship Id="rId105" Type="http://schemas.openxmlformats.org/officeDocument/2006/relationships/chart" Target="../charts/chart160.xml"/><Relationship Id="rId8" Type="http://schemas.openxmlformats.org/officeDocument/2006/relationships/chart" Target="../charts/chart63.xml"/><Relationship Id="rId51" Type="http://schemas.openxmlformats.org/officeDocument/2006/relationships/chart" Target="../charts/chart106.xml"/><Relationship Id="rId72" Type="http://schemas.openxmlformats.org/officeDocument/2006/relationships/chart" Target="../charts/chart127.xml"/><Relationship Id="rId80" Type="http://schemas.openxmlformats.org/officeDocument/2006/relationships/chart" Target="../charts/chart135.xml"/><Relationship Id="rId85" Type="http://schemas.openxmlformats.org/officeDocument/2006/relationships/chart" Target="../charts/chart140.xml"/><Relationship Id="rId93" Type="http://schemas.openxmlformats.org/officeDocument/2006/relationships/chart" Target="../charts/chart148.xml"/><Relationship Id="rId98" Type="http://schemas.openxmlformats.org/officeDocument/2006/relationships/chart" Target="../charts/chart153.xml"/><Relationship Id="rId3" Type="http://schemas.openxmlformats.org/officeDocument/2006/relationships/chart" Target="../charts/chart58.xml"/><Relationship Id="rId12" Type="http://schemas.openxmlformats.org/officeDocument/2006/relationships/chart" Target="../charts/chart67.xml"/><Relationship Id="rId17" Type="http://schemas.openxmlformats.org/officeDocument/2006/relationships/chart" Target="../charts/chart72.xml"/><Relationship Id="rId25" Type="http://schemas.openxmlformats.org/officeDocument/2006/relationships/chart" Target="../charts/chart80.xml"/><Relationship Id="rId33" Type="http://schemas.openxmlformats.org/officeDocument/2006/relationships/chart" Target="../charts/chart88.xml"/><Relationship Id="rId38" Type="http://schemas.openxmlformats.org/officeDocument/2006/relationships/chart" Target="../charts/chart93.xml"/><Relationship Id="rId46" Type="http://schemas.openxmlformats.org/officeDocument/2006/relationships/chart" Target="../charts/chart101.xml"/><Relationship Id="rId59" Type="http://schemas.openxmlformats.org/officeDocument/2006/relationships/chart" Target="../charts/chart114.xml"/><Relationship Id="rId67" Type="http://schemas.openxmlformats.org/officeDocument/2006/relationships/chart" Target="../charts/chart122.xml"/><Relationship Id="rId103" Type="http://schemas.openxmlformats.org/officeDocument/2006/relationships/chart" Target="../charts/chart158.xml"/><Relationship Id="rId108" Type="http://schemas.openxmlformats.org/officeDocument/2006/relationships/chart" Target="../charts/chart163.xml"/><Relationship Id="rId20" Type="http://schemas.openxmlformats.org/officeDocument/2006/relationships/chart" Target="../charts/chart75.xml"/><Relationship Id="rId41" Type="http://schemas.openxmlformats.org/officeDocument/2006/relationships/chart" Target="../charts/chart96.xml"/><Relationship Id="rId54" Type="http://schemas.openxmlformats.org/officeDocument/2006/relationships/chart" Target="../charts/chart109.xml"/><Relationship Id="rId62" Type="http://schemas.openxmlformats.org/officeDocument/2006/relationships/chart" Target="../charts/chart117.xml"/><Relationship Id="rId70" Type="http://schemas.openxmlformats.org/officeDocument/2006/relationships/chart" Target="../charts/chart125.xml"/><Relationship Id="rId75" Type="http://schemas.openxmlformats.org/officeDocument/2006/relationships/chart" Target="../charts/chart130.xml"/><Relationship Id="rId83" Type="http://schemas.openxmlformats.org/officeDocument/2006/relationships/chart" Target="../charts/chart138.xml"/><Relationship Id="rId88" Type="http://schemas.openxmlformats.org/officeDocument/2006/relationships/chart" Target="../charts/chart143.xml"/><Relationship Id="rId91" Type="http://schemas.openxmlformats.org/officeDocument/2006/relationships/chart" Target="../charts/chart146.xml"/><Relationship Id="rId96" Type="http://schemas.openxmlformats.org/officeDocument/2006/relationships/chart" Target="../charts/chart151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5" Type="http://schemas.openxmlformats.org/officeDocument/2006/relationships/chart" Target="../charts/chart70.xml"/><Relationship Id="rId23" Type="http://schemas.openxmlformats.org/officeDocument/2006/relationships/chart" Target="../charts/chart78.xml"/><Relationship Id="rId28" Type="http://schemas.openxmlformats.org/officeDocument/2006/relationships/chart" Target="../charts/chart83.xml"/><Relationship Id="rId36" Type="http://schemas.openxmlformats.org/officeDocument/2006/relationships/chart" Target="../charts/chart91.xml"/><Relationship Id="rId49" Type="http://schemas.openxmlformats.org/officeDocument/2006/relationships/chart" Target="../charts/chart104.xml"/><Relationship Id="rId57" Type="http://schemas.openxmlformats.org/officeDocument/2006/relationships/chart" Target="../charts/chart112.xml"/><Relationship Id="rId106" Type="http://schemas.openxmlformats.org/officeDocument/2006/relationships/chart" Target="../charts/chart161.xml"/><Relationship Id="rId10" Type="http://schemas.openxmlformats.org/officeDocument/2006/relationships/chart" Target="../charts/chart65.xml"/><Relationship Id="rId31" Type="http://schemas.openxmlformats.org/officeDocument/2006/relationships/chart" Target="../charts/chart86.xml"/><Relationship Id="rId44" Type="http://schemas.openxmlformats.org/officeDocument/2006/relationships/chart" Target="../charts/chart99.xml"/><Relationship Id="rId52" Type="http://schemas.openxmlformats.org/officeDocument/2006/relationships/chart" Target="../charts/chart107.xml"/><Relationship Id="rId60" Type="http://schemas.openxmlformats.org/officeDocument/2006/relationships/chart" Target="../charts/chart115.xml"/><Relationship Id="rId65" Type="http://schemas.openxmlformats.org/officeDocument/2006/relationships/chart" Target="../charts/chart120.xml"/><Relationship Id="rId73" Type="http://schemas.openxmlformats.org/officeDocument/2006/relationships/chart" Target="../charts/chart128.xml"/><Relationship Id="rId78" Type="http://schemas.openxmlformats.org/officeDocument/2006/relationships/chart" Target="../charts/chart133.xml"/><Relationship Id="rId81" Type="http://schemas.openxmlformats.org/officeDocument/2006/relationships/chart" Target="../charts/chart136.xml"/><Relationship Id="rId86" Type="http://schemas.openxmlformats.org/officeDocument/2006/relationships/chart" Target="../charts/chart141.xml"/><Relationship Id="rId94" Type="http://schemas.openxmlformats.org/officeDocument/2006/relationships/chart" Target="../charts/chart149.xml"/><Relationship Id="rId99" Type="http://schemas.openxmlformats.org/officeDocument/2006/relationships/chart" Target="../charts/chart154.xml"/><Relationship Id="rId101" Type="http://schemas.openxmlformats.org/officeDocument/2006/relationships/chart" Target="../charts/chart156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Relationship Id="rId13" Type="http://schemas.openxmlformats.org/officeDocument/2006/relationships/chart" Target="../charts/chart68.xml"/><Relationship Id="rId18" Type="http://schemas.openxmlformats.org/officeDocument/2006/relationships/chart" Target="../charts/chart73.xml"/><Relationship Id="rId39" Type="http://schemas.openxmlformats.org/officeDocument/2006/relationships/chart" Target="../charts/chart94.xml"/><Relationship Id="rId109" Type="http://schemas.openxmlformats.org/officeDocument/2006/relationships/chart" Target="../charts/chart164.xml"/><Relationship Id="rId34" Type="http://schemas.openxmlformats.org/officeDocument/2006/relationships/chart" Target="../charts/chart89.xml"/><Relationship Id="rId50" Type="http://schemas.openxmlformats.org/officeDocument/2006/relationships/chart" Target="../charts/chart105.xml"/><Relationship Id="rId55" Type="http://schemas.openxmlformats.org/officeDocument/2006/relationships/chart" Target="../charts/chart110.xml"/><Relationship Id="rId76" Type="http://schemas.openxmlformats.org/officeDocument/2006/relationships/chart" Target="../charts/chart131.xml"/><Relationship Id="rId97" Type="http://schemas.openxmlformats.org/officeDocument/2006/relationships/chart" Target="../charts/chart152.xml"/><Relationship Id="rId104" Type="http://schemas.openxmlformats.org/officeDocument/2006/relationships/chart" Target="../charts/chart159.xml"/><Relationship Id="rId7" Type="http://schemas.openxmlformats.org/officeDocument/2006/relationships/chart" Target="../charts/chart62.xml"/><Relationship Id="rId71" Type="http://schemas.openxmlformats.org/officeDocument/2006/relationships/chart" Target="../charts/chart126.xml"/><Relationship Id="rId92" Type="http://schemas.openxmlformats.org/officeDocument/2006/relationships/chart" Target="../charts/chart14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svg"/><Relationship Id="rId1" Type="http://schemas.openxmlformats.org/officeDocument/2006/relationships/image" Target="../media/image11.png"/><Relationship Id="rId4" Type="http://schemas.openxmlformats.org/officeDocument/2006/relationships/image" Target="../media/image14.sv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svg"/><Relationship Id="rId1" Type="http://schemas.openxmlformats.org/officeDocument/2006/relationships/image" Target="../media/image11.png"/><Relationship Id="rId4" Type="http://schemas.openxmlformats.org/officeDocument/2006/relationships/image" Target="../media/image14.sv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Relationship Id="rId4" Type="http://schemas.openxmlformats.org/officeDocument/2006/relationships/image" Target="../media/image20.sv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Relationship Id="rId4" Type="http://schemas.openxmlformats.org/officeDocument/2006/relationships/image" Target="../media/image20.sv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Relationship Id="rId4" Type="http://schemas.openxmlformats.org/officeDocument/2006/relationships/image" Target="../media/image24.sv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Relationship Id="rId4" Type="http://schemas.openxmlformats.org/officeDocument/2006/relationships/image" Target="../media/image24.sv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239484</xdr:colOff>
      <xdr:row>42</xdr:row>
      <xdr:rowOff>0</xdr:rowOff>
    </xdr:from>
    <xdr:to>
      <xdr:col>9</xdr:col>
      <xdr:colOff>842334</xdr:colOff>
      <xdr:row>62</xdr:row>
      <xdr:rowOff>129000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77ACD8F-EFEA-410B-B156-773BCD574B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317369</xdr:colOff>
      <xdr:row>261</xdr:row>
      <xdr:rowOff>76154</xdr:rowOff>
    </xdr:from>
    <xdr:to>
      <xdr:col>13</xdr:col>
      <xdr:colOff>401320</xdr:colOff>
      <xdr:row>281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9DA342C-9B65-FAE0-1A6D-31D336C65887}"/>
            </a:ext>
          </a:extLst>
        </xdr:cNvPr>
        <xdr:cNvSpPr txBox="1"/>
      </xdr:nvSpPr>
      <xdr:spPr>
        <a:xfrm>
          <a:off x="10345289" y="66934034"/>
          <a:ext cx="4061591" cy="4325665"/>
        </a:xfrm>
        <a:prstGeom prst="roundRect">
          <a:avLst/>
        </a:prstGeom>
        <a:solidFill>
          <a:schemeClr val="lt1"/>
        </a:solidFill>
        <a:ln w="19050" cmpd="sng">
          <a:solidFill>
            <a:schemeClr val="accent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</a:rPr>
            <a:t>Samfélagslosun</a:t>
          </a:r>
          <a:r>
            <a:rPr lang="en-GB" sz="1000" b="1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er losun gróðurhúsalofttegunda sem fellur undir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beina ábyrgð ríkja samkvæmt reglugerð (ESB)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2018/842 um sameiginlega ábyrgð (e. Effort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Sharing Regulation,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ESR).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en-GB" sz="10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Núgildandi markmið Íslands fyrir </a:t>
          </a:r>
          <a:r>
            <a:rPr lang="en-GB" sz="1000" b="0">
              <a:solidFill>
                <a:sysClr val="windowText" lastClr="000000"/>
              </a:solidFill>
            </a:rPr>
            <a:t>samfélagslosun</a:t>
          </a:r>
          <a:r>
            <a:rPr lang="en-GB" sz="1000" b="1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er 29% samdráttur árið 2030 miðað 2005.</a:t>
          </a:r>
          <a:endParaRPr lang="en-GB" sz="1000" baseline="0">
            <a:solidFill>
              <a:sysClr val="windowText" lastClr="000000"/>
            </a:solidFill>
          </a:endParaRPr>
        </a:p>
        <a:p>
          <a:pPr algn="ctr"/>
          <a:endParaRPr lang="en-GB" sz="1000" baseline="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Árið 2020 uppfærði ESB heildarmarkmið sitt fyrir losun árið 2030.</a:t>
          </a:r>
          <a:r>
            <a:rPr lang="en-GB" sz="1000" baseline="0">
              <a:solidFill>
                <a:sysClr val="windowText" lastClr="000000"/>
              </a:solidFill>
            </a:rPr>
            <a:t> Í </a:t>
          </a:r>
          <a:r>
            <a:rPr lang="en-GB" sz="1000">
              <a:solidFill>
                <a:sysClr val="windowText" lastClr="000000"/>
              </a:solidFill>
            </a:rPr>
            <a:t>þessari uppfærslu var markmið 2030 fyrir samfélagslosun ESB </a:t>
          </a:r>
          <a:r>
            <a:rPr lang="en-GB" sz="1000" b="1">
              <a:solidFill>
                <a:sysClr val="windowText" lastClr="000000"/>
              </a:solidFill>
            </a:rPr>
            <a:t>hækkað úr 30% í 40% </a:t>
          </a:r>
          <a:r>
            <a:rPr lang="en-GB" sz="1000">
              <a:solidFill>
                <a:sysClr val="windowText" lastClr="000000"/>
              </a:solidFill>
            </a:rPr>
            <a:t>miðað við 2005.</a:t>
          </a:r>
          <a:r>
            <a:rPr lang="en-GB" sz="1000" baseline="0">
              <a:solidFill>
                <a:sysClr val="windowText" lastClr="000000"/>
              </a:solidFill>
            </a:rPr>
            <a:t> R</a:t>
          </a:r>
          <a:r>
            <a:rPr lang="en-GB" sz="1000">
              <a:solidFill>
                <a:sysClr val="windowText" lastClr="000000"/>
              </a:solidFill>
            </a:rPr>
            <a:t>eglugerð (ESB) 2018/842 var því uppfærð með ný markmið fyrir hvert aðildarríkja ESB.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Vinna við uppfærð markmið fyrir Ísland og Noreg er langt komin og </a:t>
          </a:r>
          <a:r>
            <a:rPr lang="en-GB" sz="1000" b="1">
              <a:solidFill>
                <a:sysClr val="windowText" lastClr="000000"/>
              </a:solidFill>
            </a:rPr>
            <a:t>áætlað er að nýtt markmið fyrir Ísland verði 41% samdráttur </a:t>
          </a:r>
          <a:r>
            <a:rPr lang="en-GB" sz="1000">
              <a:solidFill>
                <a:sysClr val="windowText" lastClr="000000"/>
              </a:solidFill>
            </a:rPr>
            <a:t>árið 2030 miðað við 2005. 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Grafið</a:t>
          </a:r>
          <a:r>
            <a:rPr lang="en-GB" sz="1000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til vinstri sýnir samfélagslosun Íslands ásamt úthlutuðum losunarheimildum fyrir árin 2021-2023 (sem haldast óbreyttar), sem og áætlaðar árlegar losunarheimildir fyrir árin 2024-2030 byggðar á væntanlegu 41% markmiði.</a:t>
          </a:r>
          <a:endParaRPr lang="en-GB" sz="1000" kern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-1</xdr:colOff>
      <xdr:row>146</xdr:row>
      <xdr:rowOff>0</xdr:rowOff>
    </xdr:from>
    <xdr:to>
      <xdr:col>9</xdr:col>
      <xdr:colOff>861929</xdr:colOff>
      <xdr:row>166</xdr:row>
      <xdr:rowOff>52799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2FE6850B-E81F-44B7-9ED6-4CCB86A75C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33</xdr:col>
      <xdr:colOff>0</xdr:colOff>
      <xdr:row>42</xdr:row>
      <xdr:rowOff>0</xdr:rowOff>
    </xdr:from>
    <xdr:to>
      <xdr:col>38</xdr:col>
      <xdr:colOff>431400</xdr:colOff>
      <xdr:row>62</xdr:row>
      <xdr:rowOff>129000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CA4E54E3-0A14-482A-ADB0-C30D5C2669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-1</xdr:colOff>
      <xdr:row>170</xdr:row>
      <xdr:rowOff>0</xdr:rowOff>
    </xdr:from>
    <xdr:to>
      <xdr:col>9</xdr:col>
      <xdr:colOff>861929</xdr:colOff>
      <xdr:row>190</xdr:row>
      <xdr:rowOff>52800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F559815-9C78-48C4-9F01-931412F5A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33</xdr:col>
      <xdr:colOff>0</xdr:colOff>
      <xdr:row>170</xdr:row>
      <xdr:rowOff>0</xdr:rowOff>
    </xdr:from>
    <xdr:to>
      <xdr:col>38</xdr:col>
      <xdr:colOff>170000</xdr:colOff>
      <xdr:row>190</xdr:row>
      <xdr:rowOff>93896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ED1DAC9F-0BAC-4CB0-AA88-3E7469D199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</xdr:col>
      <xdr:colOff>0</xdr:colOff>
      <xdr:row>192</xdr:row>
      <xdr:rowOff>0</xdr:rowOff>
    </xdr:from>
    <xdr:to>
      <xdr:col>9</xdr:col>
      <xdr:colOff>861930</xdr:colOff>
      <xdr:row>212</xdr:row>
      <xdr:rowOff>52800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D406476-CD89-4EE4-953E-624D358F05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-1</xdr:colOff>
      <xdr:row>261</xdr:row>
      <xdr:rowOff>0</xdr:rowOff>
    </xdr:from>
    <xdr:to>
      <xdr:col>9</xdr:col>
      <xdr:colOff>861929</xdr:colOff>
      <xdr:row>281</xdr:row>
      <xdr:rowOff>52801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288CD7BE-54E1-46D6-B77F-78A87A9B52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33</xdr:col>
      <xdr:colOff>0</xdr:colOff>
      <xdr:row>261</xdr:row>
      <xdr:rowOff>0</xdr:rowOff>
    </xdr:from>
    <xdr:to>
      <xdr:col>38</xdr:col>
      <xdr:colOff>416160</xdr:colOff>
      <xdr:row>281</xdr:row>
      <xdr:rowOff>52801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A64DEA2-DBE0-4DB5-AFB9-DBA70E8BC8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32</xdr:col>
      <xdr:colOff>664027</xdr:colOff>
      <xdr:row>297</xdr:row>
      <xdr:rowOff>0</xdr:rowOff>
    </xdr:from>
    <xdr:to>
      <xdr:col>38</xdr:col>
      <xdr:colOff>409626</xdr:colOff>
      <xdr:row>317</xdr:row>
      <xdr:rowOff>52800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0907B007-F6CF-469D-9E11-5D5A5259B3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0</xdr:colOff>
      <xdr:row>321</xdr:row>
      <xdr:rowOff>0</xdr:rowOff>
    </xdr:from>
    <xdr:to>
      <xdr:col>9</xdr:col>
      <xdr:colOff>861930</xdr:colOff>
      <xdr:row>341</xdr:row>
      <xdr:rowOff>52800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A2394DDF-0AA5-4EE7-8182-56DCD9B16D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0</xdr:colOff>
      <xdr:row>321</xdr:row>
      <xdr:rowOff>0</xdr:rowOff>
    </xdr:from>
    <xdr:to>
      <xdr:col>17</xdr:col>
      <xdr:colOff>290521</xdr:colOff>
      <xdr:row>341</xdr:row>
      <xdr:rowOff>52800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13351A01-EB9B-41FA-88F0-70B97BADFC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33</xdr:col>
      <xdr:colOff>0</xdr:colOff>
      <xdr:row>321</xdr:row>
      <xdr:rowOff>0</xdr:rowOff>
    </xdr:from>
    <xdr:to>
      <xdr:col>38</xdr:col>
      <xdr:colOff>93800</xdr:colOff>
      <xdr:row>340</xdr:row>
      <xdr:rowOff>169821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FD0DF8-E2C1-4D51-9E83-C1C788E750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38</xdr:col>
      <xdr:colOff>0</xdr:colOff>
      <xdr:row>321</xdr:row>
      <xdr:rowOff>0</xdr:rowOff>
    </xdr:from>
    <xdr:to>
      <xdr:col>43</xdr:col>
      <xdr:colOff>668020</xdr:colOff>
      <xdr:row>340</xdr:row>
      <xdr:rowOff>169821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1D098BE8-78A5-4925-8536-ECF5C911FD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33</xdr:col>
      <xdr:colOff>0</xdr:colOff>
      <xdr:row>344</xdr:row>
      <xdr:rowOff>0</xdr:rowOff>
    </xdr:from>
    <xdr:ext cx="79756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890E59F-0939-4FDF-B832-0D806F583C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twoCellAnchor editAs="oneCell">
    <xdr:from>
      <xdr:col>32</xdr:col>
      <xdr:colOff>664027</xdr:colOff>
      <xdr:row>377</xdr:row>
      <xdr:rowOff>-1</xdr:rowOff>
    </xdr:from>
    <xdr:to>
      <xdr:col>38</xdr:col>
      <xdr:colOff>409626</xdr:colOff>
      <xdr:row>397</xdr:row>
      <xdr:rowOff>52799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9FBAA1EE-C8B0-4D6D-AA04-4D11FDA18C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378</xdr:row>
      <xdr:rowOff>-1</xdr:rowOff>
    </xdr:from>
    <xdr:to>
      <xdr:col>9</xdr:col>
      <xdr:colOff>861930</xdr:colOff>
      <xdr:row>398</xdr:row>
      <xdr:rowOff>52800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F188EA18-6247-4B57-A67F-80B0F0C708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4</xdr:col>
      <xdr:colOff>-1</xdr:colOff>
      <xdr:row>344</xdr:row>
      <xdr:rowOff>0</xdr:rowOff>
    </xdr:from>
    <xdr:ext cx="8280000" cy="4320000"/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52A451DD-13DB-46ED-BDC8-98B99DBD0F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10</xdr:col>
      <xdr:colOff>-1</xdr:colOff>
      <xdr:row>344</xdr:row>
      <xdr:rowOff>60960</xdr:rowOff>
    </xdr:from>
    <xdr:ext cx="8280000" cy="4320000"/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228D5424-2725-4FA5-8784-F188970AA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twoCellAnchor editAs="oneCell">
    <xdr:from>
      <xdr:col>4</xdr:col>
      <xdr:colOff>-1</xdr:colOff>
      <xdr:row>401</xdr:row>
      <xdr:rowOff>0</xdr:rowOff>
    </xdr:from>
    <xdr:to>
      <xdr:col>9</xdr:col>
      <xdr:colOff>861929</xdr:colOff>
      <xdr:row>421</xdr:row>
      <xdr:rowOff>52799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83FAB84-0167-4A82-9C45-4D9EA52241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-1</xdr:colOff>
      <xdr:row>401</xdr:row>
      <xdr:rowOff>0</xdr:rowOff>
    </xdr:from>
    <xdr:to>
      <xdr:col>17</xdr:col>
      <xdr:colOff>290520</xdr:colOff>
      <xdr:row>421</xdr:row>
      <xdr:rowOff>52799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2C42CB71-6E5E-4110-B9B0-7EDE05BD1A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3</xdr:col>
      <xdr:colOff>206827</xdr:colOff>
      <xdr:row>424</xdr:row>
      <xdr:rowOff>217713</xdr:rowOff>
    </xdr:from>
    <xdr:to>
      <xdr:col>9</xdr:col>
      <xdr:colOff>829272</xdr:colOff>
      <xdr:row>445</xdr:row>
      <xdr:rowOff>52800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3DFF00C-4DB1-42D2-BA7F-30B4134DD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33</xdr:col>
      <xdr:colOff>0</xdr:colOff>
      <xdr:row>401</xdr:row>
      <xdr:rowOff>0</xdr:rowOff>
    </xdr:from>
    <xdr:to>
      <xdr:col>38</xdr:col>
      <xdr:colOff>135710</xdr:colOff>
      <xdr:row>421</xdr:row>
      <xdr:rowOff>98971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6B80939-7E5C-4C5A-96BC-7CEB468403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38</xdr:col>
      <xdr:colOff>0</xdr:colOff>
      <xdr:row>401</xdr:row>
      <xdr:rowOff>0</xdr:rowOff>
    </xdr:from>
    <xdr:to>
      <xdr:col>45</xdr:col>
      <xdr:colOff>158206</xdr:colOff>
      <xdr:row>421</xdr:row>
      <xdr:rowOff>130358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DAD1A12-2B03-401E-8E9C-8F4F34270E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33</xdr:col>
      <xdr:colOff>0</xdr:colOff>
      <xdr:row>425</xdr:row>
      <xdr:rowOff>0</xdr:rowOff>
    </xdr:from>
    <xdr:to>
      <xdr:col>38</xdr:col>
      <xdr:colOff>416160</xdr:colOff>
      <xdr:row>445</xdr:row>
      <xdr:rowOff>52802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3B7ED925-CE14-49B6-8912-F79B20A318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1219199</xdr:colOff>
      <xdr:row>146</xdr:row>
      <xdr:rowOff>0</xdr:rowOff>
    </xdr:from>
    <xdr:to>
      <xdr:col>17</xdr:col>
      <xdr:colOff>84780</xdr:colOff>
      <xdr:row>166</xdr:row>
      <xdr:rowOff>52799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52A0762-FF31-46B2-A7E7-59D7CA1155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39</xdr:col>
      <xdr:colOff>0</xdr:colOff>
      <xdr:row>170</xdr:row>
      <xdr:rowOff>0</xdr:rowOff>
    </xdr:from>
    <xdr:to>
      <xdr:col>45</xdr:col>
      <xdr:colOff>425631</xdr:colOff>
      <xdr:row>190</xdr:row>
      <xdr:rowOff>93896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2221871-2948-4330-B7EA-1416B1C3C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33</xdr:col>
      <xdr:colOff>0</xdr:colOff>
      <xdr:row>192</xdr:row>
      <xdr:rowOff>0</xdr:rowOff>
    </xdr:from>
    <xdr:to>
      <xdr:col>38</xdr:col>
      <xdr:colOff>626382</xdr:colOff>
      <xdr:row>212</xdr:row>
      <xdr:rowOff>2000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DF07F0-926A-4D6D-BFD4-AF462798A4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39</xdr:col>
      <xdr:colOff>0</xdr:colOff>
      <xdr:row>192</xdr:row>
      <xdr:rowOff>0</xdr:rowOff>
    </xdr:from>
    <xdr:to>
      <xdr:col>45</xdr:col>
      <xdr:colOff>593271</xdr:colOff>
      <xdr:row>212</xdr:row>
      <xdr:rowOff>2000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40A82F0-D51F-47A0-913C-7DD94297C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oneCellAnchor>
    <xdr:from>
      <xdr:col>38</xdr:col>
      <xdr:colOff>0</xdr:colOff>
      <xdr:row>344</xdr:row>
      <xdr:rowOff>0</xdr:rowOff>
    </xdr:from>
    <xdr:ext cx="7957457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A78F23-4305-46B5-83D0-FD9217928D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twoCellAnchor editAs="oneCell">
    <xdr:from>
      <xdr:col>4</xdr:col>
      <xdr:colOff>-1</xdr:colOff>
      <xdr:row>297</xdr:row>
      <xdr:rowOff>0</xdr:rowOff>
    </xdr:from>
    <xdr:to>
      <xdr:col>9</xdr:col>
      <xdr:colOff>861929</xdr:colOff>
      <xdr:row>317</xdr:row>
      <xdr:rowOff>52800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3F168D-D7A3-4CCF-B14E-AA0CD43B5D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594360</xdr:colOff>
      <xdr:row>261</xdr:row>
      <xdr:rowOff>44025</xdr:rowOff>
    </xdr:from>
    <xdr:to>
      <xdr:col>41</xdr:col>
      <xdr:colOff>2051051</xdr:colOff>
      <xdr:row>281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42EFCB9-D83F-4067-ADDD-ABA152F86D72}"/>
            </a:ext>
          </a:extLst>
        </xdr:cNvPr>
        <xdr:cNvSpPr txBox="1"/>
      </xdr:nvSpPr>
      <xdr:spPr>
        <a:xfrm>
          <a:off x="32903160" y="66901905"/>
          <a:ext cx="4276091" cy="4311227"/>
        </a:xfrm>
        <a:prstGeom prst="roundRect">
          <a:avLst/>
        </a:prstGeom>
        <a:solidFill>
          <a:schemeClr val="lt1"/>
        </a:solidFill>
        <a:ln w="19050" cmpd="sng">
          <a:solidFill>
            <a:schemeClr val="accent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 emissions 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refer to the greenhouse gas emissions that fall under the scope of Regulation (EU) 2018/842 </a:t>
          </a:r>
          <a:r>
            <a:rPr lang="en-GB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GB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Effort</a:t>
          </a:r>
          <a:r>
            <a:rPr lang="en-GB" sz="105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Sharing Regulation, </a:t>
          </a:r>
          <a:r>
            <a:rPr lang="en-GB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ESR).</a:t>
          </a:r>
          <a:r>
            <a:rPr lang="en-GB" sz="105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GB" sz="1000">
            <a:solidFill>
              <a:sysClr val="windowText" lastClr="000000"/>
            </a:solidFill>
            <a:effectLst/>
          </a:endParaRPr>
        </a:p>
        <a:p>
          <a:pPr algn="ctr"/>
          <a:endParaRPr lang="en-GB" sz="10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The</a:t>
          </a:r>
          <a:r>
            <a:rPr lang="en-GB" sz="1000" baseline="0">
              <a:solidFill>
                <a:sysClr val="windowText" lastClr="000000"/>
              </a:solidFill>
            </a:rPr>
            <a:t> target currently in force for Iceland's ESR emissions is 29%  reduction by 2030 compared to 2005.</a:t>
          </a:r>
        </a:p>
        <a:p>
          <a:pPr algn="ctr"/>
          <a:endParaRPr lang="en-GB" sz="1000" baseline="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In  2020, the EU updated its</a:t>
          </a:r>
          <a:r>
            <a:rPr lang="en-GB" sz="1000" baseline="0">
              <a:solidFill>
                <a:sysClr val="windowText" lastClr="000000"/>
              </a:solidFill>
            </a:rPr>
            <a:t> total emission target for 2030. This includes the target for ESR emissions which was </a:t>
          </a:r>
          <a:r>
            <a:rPr lang="en-GB" sz="1000" b="1" baseline="0">
              <a:solidFill>
                <a:sysClr val="windowText" lastClr="000000"/>
              </a:solidFill>
            </a:rPr>
            <a:t>increased from 30% to 40% </a:t>
          </a:r>
          <a:r>
            <a:rPr lang="en-GB" sz="1000" baseline="0">
              <a:solidFill>
                <a:sysClr val="windowText" lastClr="000000"/>
              </a:solidFill>
            </a:rPr>
            <a:t>(by 2030 compared to 2005). Following the target update, the ESR was revised with new targets for each EU country.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Work on updated 2030 ESR target</a:t>
          </a:r>
          <a:r>
            <a:rPr lang="en-GB" sz="1000" baseline="0">
              <a:solidFill>
                <a:sysClr val="windowText" lastClr="000000"/>
              </a:solidFill>
            </a:rPr>
            <a:t> for</a:t>
          </a:r>
          <a:r>
            <a:rPr lang="en-GB" sz="1000">
              <a:solidFill>
                <a:sysClr val="windowText" lastClr="000000"/>
              </a:solidFill>
            </a:rPr>
            <a:t> Iceland and Norway is well underway.</a:t>
          </a:r>
          <a:r>
            <a:rPr lang="en-GB" sz="1000" b="1" baseline="0">
              <a:solidFill>
                <a:sysClr val="windowText" lastClr="000000"/>
              </a:solidFill>
            </a:rPr>
            <a:t>The new target for Iceland is expected to be 41% </a:t>
          </a:r>
          <a:r>
            <a:rPr lang="en-GB" sz="1000" baseline="0">
              <a:solidFill>
                <a:sysClr val="windowText" lastClr="000000"/>
              </a:solidFill>
            </a:rPr>
            <a:t>compared to 2005.</a:t>
          </a:r>
          <a:endParaRPr lang="en-GB" sz="1000">
            <a:solidFill>
              <a:sysClr val="windowText" lastClr="000000"/>
            </a:solidFill>
          </a:endParaRP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The graph</a:t>
          </a:r>
          <a:r>
            <a:rPr lang="en-GB" sz="1000" baseline="0">
              <a:solidFill>
                <a:sysClr val="windowText" lastClr="000000"/>
              </a:solidFill>
            </a:rPr>
            <a:t> on the left shows Iceland's ESR emissions and emission allocations for 2021-2030. Allocations for 2021-2023 remain unchanged, i.e. based on the previous 29% target, while the allocations shown for 2024-2030 are based on the anticipated 41% target.</a:t>
          </a:r>
          <a:endParaRPr lang="en-GB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9523</xdr:colOff>
      <xdr:row>65</xdr:row>
      <xdr:rowOff>180974</xdr:rowOff>
    </xdr:from>
    <xdr:to>
      <xdr:col>9</xdr:col>
      <xdr:colOff>871453</xdr:colOff>
      <xdr:row>86</xdr:row>
      <xdr:rowOff>20414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CCC9086-7BC2-4F81-8073-A07838C793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33</xdr:col>
      <xdr:colOff>0</xdr:colOff>
      <xdr:row>66</xdr:row>
      <xdr:rowOff>0</xdr:rowOff>
    </xdr:from>
    <xdr:to>
      <xdr:col>38</xdr:col>
      <xdr:colOff>416160</xdr:colOff>
      <xdr:row>86</xdr:row>
      <xdr:rowOff>52799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A278F5D-CBE5-42A1-9451-BF3B99ECDD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4</xdr:col>
      <xdr:colOff>0</xdr:colOff>
      <xdr:row>216</xdr:row>
      <xdr:rowOff>0</xdr:rowOff>
    </xdr:from>
    <xdr:to>
      <xdr:col>9</xdr:col>
      <xdr:colOff>857250</xdr:colOff>
      <xdr:row>236</xdr:row>
      <xdr:rowOff>52801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60066D-5582-4195-9335-6488B52B3A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4</xdr:col>
      <xdr:colOff>3809</xdr:colOff>
      <xdr:row>237</xdr:row>
      <xdr:rowOff>0</xdr:rowOff>
    </xdr:from>
    <xdr:to>
      <xdr:col>9</xdr:col>
      <xdr:colOff>865739</xdr:colOff>
      <xdr:row>257</xdr:row>
      <xdr:rowOff>52801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663DA90-0B96-4443-ADE5-E6D60D1284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33</xdr:col>
      <xdr:colOff>0</xdr:colOff>
      <xdr:row>237</xdr:row>
      <xdr:rowOff>-1</xdr:rowOff>
    </xdr:from>
    <xdr:to>
      <xdr:col>38</xdr:col>
      <xdr:colOff>416160</xdr:colOff>
      <xdr:row>257</xdr:row>
      <xdr:rowOff>52800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32CB9E5C-9043-4342-A4A2-76CB5E7D29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33</xdr:col>
      <xdr:colOff>0</xdr:colOff>
      <xdr:row>216</xdr:row>
      <xdr:rowOff>0</xdr:rowOff>
    </xdr:from>
    <xdr:to>
      <xdr:col>38</xdr:col>
      <xdr:colOff>406400</xdr:colOff>
      <xdr:row>236</xdr:row>
      <xdr:rowOff>52801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DAEDB4FF-013A-41E7-A0EE-783DB76FD5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305761</xdr:colOff>
      <xdr:row>62</xdr:row>
      <xdr:rowOff>129000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3552C65C-E4A7-499B-AF54-559D3F18C4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39</xdr:col>
      <xdr:colOff>0</xdr:colOff>
      <xdr:row>43</xdr:row>
      <xdr:rowOff>0</xdr:rowOff>
    </xdr:from>
    <xdr:to>
      <xdr:col>45</xdr:col>
      <xdr:colOff>423091</xdr:colOff>
      <xdr:row>63</xdr:row>
      <xdr:rowOff>1999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D66BCA0-C4FB-46FB-B1A3-8D0903252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10</xdr:col>
      <xdr:colOff>0</xdr:colOff>
      <xdr:row>65</xdr:row>
      <xdr:rowOff>209549</xdr:rowOff>
    </xdr:from>
    <xdr:to>
      <xdr:col>17</xdr:col>
      <xdr:colOff>305761</xdr:colOff>
      <xdr:row>86</xdr:row>
      <xdr:rowOff>128999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42B64B88-A970-4CCD-9C3B-D27993BB8B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4</xdr:col>
      <xdr:colOff>0</xdr:colOff>
      <xdr:row>88</xdr:row>
      <xdr:rowOff>0</xdr:rowOff>
    </xdr:from>
    <xdr:to>
      <xdr:col>9</xdr:col>
      <xdr:colOff>860025</xdr:colOff>
      <xdr:row>108</xdr:row>
      <xdr:rowOff>128999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549FA60A-8293-4F50-88F0-0ABF692867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10</xdr:col>
      <xdr:colOff>0</xdr:colOff>
      <xdr:row>88</xdr:row>
      <xdr:rowOff>0</xdr:rowOff>
    </xdr:from>
    <xdr:to>
      <xdr:col>17</xdr:col>
      <xdr:colOff>305761</xdr:colOff>
      <xdr:row>108</xdr:row>
      <xdr:rowOff>128999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FCFCA3F9-7943-4F29-89DA-F9621AD9A3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33</xdr:col>
      <xdr:colOff>0</xdr:colOff>
      <xdr:row>88</xdr:row>
      <xdr:rowOff>0</xdr:rowOff>
    </xdr:from>
    <xdr:to>
      <xdr:col>38</xdr:col>
      <xdr:colOff>113664</xdr:colOff>
      <xdr:row>107</xdr:row>
      <xdr:rowOff>91622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772B9BF-C3F2-43E8-B18A-2A18E68EC0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33</xdr:col>
      <xdr:colOff>0</xdr:colOff>
      <xdr:row>146</xdr:row>
      <xdr:rowOff>0</xdr:rowOff>
    </xdr:from>
    <xdr:to>
      <xdr:col>38</xdr:col>
      <xdr:colOff>416160</xdr:colOff>
      <xdr:row>166</xdr:row>
      <xdr:rowOff>52799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4C99E9FC-55A7-459C-B87A-3192CE2D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39</xdr:col>
      <xdr:colOff>0</xdr:colOff>
      <xdr:row>88</xdr:row>
      <xdr:rowOff>0</xdr:rowOff>
    </xdr:from>
    <xdr:to>
      <xdr:col>45</xdr:col>
      <xdr:colOff>395606</xdr:colOff>
      <xdr:row>107</xdr:row>
      <xdr:rowOff>21137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C42455F-9460-46F1-8D85-313A735006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39</xdr:col>
      <xdr:colOff>0</xdr:colOff>
      <xdr:row>66</xdr:row>
      <xdr:rowOff>0</xdr:rowOff>
    </xdr:from>
    <xdr:to>
      <xdr:col>46</xdr:col>
      <xdr:colOff>17743</xdr:colOff>
      <xdr:row>86</xdr:row>
      <xdr:rowOff>48105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26146B8-B566-4A12-BF5E-A6504B13C3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39</xdr:col>
      <xdr:colOff>0</xdr:colOff>
      <xdr:row>146</xdr:row>
      <xdr:rowOff>0</xdr:rowOff>
    </xdr:from>
    <xdr:to>
      <xdr:col>46</xdr:col>
      <xdr:colOff>17743</xdr:colOff>
      <xdr:row>166</xdr:row>
      <xdr:rowOff>52799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884D440D-2E5A-4ED9-B1FB-85EEE765A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10</xdr:col>
      <xdr:colOff>0</xdr:colOff>
      <xdr:row>170</xdr:row>
      <xdr:rowOff>0</xdr:rowOff>
    </xdr:from>
    <xdr:to>
      <xdr:col>17</xdr:col>
      <xdr:colOff>290521</xdr:colOff>
      <xdr:row>190</xdr:row>
      <xdr:rowOff>52800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13F9FBEF-EC07-493E-B3E4-2D52655827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10</xdr:col>
      <xdr:colOff>0</xdr:colOff>
      <xdr:row>216</xdr:row>
      <xdr:rowOff>0</xdr:rowOff>
    </xdr:from>
    <xdr:to>
      <xdr:col>17</xdr:col>
      <xdr:colOff>290521</xdr:colOff>
      <xdr:row>236</xdr:row>
      <xdr:rowOff>52801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05AAB5B-5C46-49C7-8061-91FBD25EF2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38</xdr:col>
      <xdr:colOff>514350</xdr:colOff>
      <xdr:row>215</xdr:row>
      <xdr:rowOff>142875</xdr:rowOff>
    </xdr:from>
    <xdr:to>
      <xdr:col>44</xdr:col>
      <xdr:colOff>389218</xdr:colOff>
      <xdr:row>235</xdr:row>
      <xdr:rowOff>195674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A026E88-455D-41F1-B9FD-D9A2DAFFF0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9</xdr:col>
      <xdr:colOff>1422399</xdr:colOff>
      <xdr:row>425</xdr:row>
      <xdr:rowOff>0</xdr:rowOff>
    </xdr:from>
    <xdr:to>
      <xdr:col>17</xdr:col>
      <xdr:colOff>342499</xdr:colOff>
      <xdr:row>445</xdr:row>
      <xdr:rowOff>2001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1C3DB63-909F-4153-85D8-824BC3A47D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38</xdr:col>
      <xdr:colOff>348341</xdr:colOff>
      <xdr:row>425</xdr:row>
      <xdr:rowOff>54428</xdr:rowOff>
    </xdr:from>
    <xdr:to>
      <xdr:col>44</xdr:col>
      <xdr:colOff>235455</xdr:colOff>
      <xdr:row>445</xdr:row>
      <xdr:rowOff>20143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1FCFF9B-A2BD-496A-AA1E-3BD3476F29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33</xdr:col>
      <xdr:colOff>0</xdr:colOff>
      <xdr:row>17</xdr:row>
      <xdr:rowOff>0</xdr:rowOff>
    </xdr:from>
    <xdr:to>
      <xdr:col>38</xdr:col>
      <xdr:colOff>440926</xdr:colOff>
      <xdr:row>37</xdr:row>
      <xdr:rowOff>128999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6927822D-F1AF-440D-AE2F-26A8D84003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152400</xdr:colOff>
      <xdr:row>17</xdr:row>
      <xdr:rowOff>152400</xdr:rowOff>
    </xdr:from>
    <xdr:to>
      <xdr:col>9</xdr:col>
      <xdr:colOff>1012426</xdr:colOff>
      <xdr:row>38</xdr:row>
      <xdr:rowOff>71849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C97771EF-046A-42DD-B768-E64E2C5FC75E}"/>
            </a:ext>
          </a:extLst>
        </xdr:cNvPr>
        <xdr:cNvGrpSpPr/>
      </xdr:nvGrpSpPr>
      <xdr:grpSpPr>
        <a:xfrm>
          <a:off x="406400" y="5438775"/>
          <a:ext cx="8269841" cy="4251419"/>
          <a:chOff x="10591800" y="5514974"/>
          <a:chExt cx="8280001" cy="4319999"/>
        </a:xfrm>
      </xdr:grpSpPr>
      <xdr:graphicFrame macro="">
        <xdr:nvGraphicFramePr>
          <xdr:cNvPr id="42" name="Chart 41">
            <a:extLst>
              <a:ext uri="{FF2B5EF4-FFF2-40B4-BE49-F238E27FC236}">
                <a16:creationId xmlns:a16="http://schemas.microsoft.com/office/drawing/2014/main" id="{F9E71099-90A2-E8E0-BC76-8E7D726DBF83}"/>
              </a:ext>
            </a:extLst>
          </xdr:cNvPr>
          <xdr:cNvGraphicFramePr>
            <a:graphicFrameLocks noChangeAspect="1"/>
          </xdr:cNvGraphicFramePr>
        </xdr:nvGraphicFramePr>
        <xdr:xfrm>
          <a:off x="10591800" y="5514974"/>
          <a:ext cx="8280001" cy="4319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"/>
          </a:graphicData>
        </a:graphic>
      </xdr:graphicFrame>
      <xdr:sp macro="" textlink="$A$14">
        <xdr:nvSpPr>
          <xdr:cNvPr id="43" name="TextBox 42">
            <a:extLst>
              <a:ext uri="{FF2B5EF4-FFF2-40B4-BE49-F238E27FC236}">
                <a16:creationId xmlns:a16="http://schemas.microsoft.com/office/drawing/2014/main" id="{D25FD4BD-1952-0ED3-7FE5-6F4A59B99F4E}"/>
              </a:ext>
            </a:extLst>
          </xdr:cNvPr>
          <xdr:cNvSpPr txBox="1"/>
        </xdr:nvSpPr>
        <xdr:spPr>
          <a:xfrm>
            <a:off x="13641711" y="7254079"/>
            <a:ext cx="1801706" cy="11400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D6C901D-779B-47B9-BC7B-9922F0DFD613}" type="TxLink">
              <a:rPr lang="en-US" sz="1400" b="1" i="0" u="none" strike="noStrike">
                <a:solidFill>
                  <a:sysClr val="windowText" lastClr="000000"/>
                </a:solidFill>
                <a:latin typeface="Segoe UI"/>
                <a:cs typeface="Segoe UI"/>
              </a:rPr>
              <a:pPr algn="ctr"/>
              <a:t>Losun Íslands eftir skuldbindingum 2024</a:t>
            </a:fld>
            <a:endParaRPr lang="is-IS" sz="1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10</xdr:col>
      <xdr:colOff>0</xdr:colOff>
      <xdr:row>192</xdr:row>
      <xdr:rowOff>0</xdr:rowOff>
    </xdr:from>
    <xdr:to>
      <xdr:col>18</xdr:col>
      <xdr:colOff>160473</xdr:colOff>
      <xdr:row>212</xdr:row>
      <xdr:rowOff>54434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B29A63-BB03-4C1A-A0AF-5BD56CB0D4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19</xdr:col>
      <xdr:colOff>0</xdr:colOff>
      <xdr:row>192</xdr:row>
      <xdr:rowOff>0</xdr:rowOff>
    </xdr:from>
    <xdr:to>
      <xdr:col>31</xdr:col>
      <xdr:colOff>303221</xdr:colOff>
      <xdr:row>212</xdr:row>
      <xdr:rowOff>52800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AA1BF42-F755-40DF-A2DC-34E8EF51DD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0.36965</cdr:x>
      <cdr:y>0.39981</cdr:y>
    </cdr:from>
    <cdr:to>
      <cdr:x>0.58709</cdr:x>
      <cdr:y>0.65548</cdr:y>
    </cdr:to>
    <cdr:sp macro="" textlink="'Skuldbindingar | Obligations'!$B$1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779DD9E-1570-E318-4BBC-314264134929}"/>
            </a:ext>
          </a:extLst>
        </cdr:cNvPr>
        <cdr:cNvSpPr txBox="1"/>
      </cdr:nvSpPr>
      <cdr:spPr>
        <a:xfrm xmlns:a="http://schemas.openxmlformats.org/drawingml/2006/main">
          <a:off x="3060700" y="1727200"/>
          <a:ext cx="1800400" cy="1104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838FBCF-1D0B-491B-ABE9-08217ACD63F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 according to Obligations</a:t>
          </a:fld>
          <a:endParaRPr lang="is-IS" sz="6000" b="1">
            <a:solidFill>
              <a:sysClr val="windowText" lastClr="000000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0.33578</cdr:x>
      <cdr:y>0.49977</cdr:y>
    </cdr:from>
    <cdr:to>
      <cdr:x>0.47145</cdr:x>
      <cdr:y>0.74687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D94D39BC-DD05-EC38-80B1-C408F6FC079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12613" y="2184400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0.74305</cdr:x>
      <cdr:y>0.71223</cdr:y>
    </cdr:from>
    <cdr:to>
      <cdr:x>0.87871</cdr:x>
      <cdr:y>0.95932</cdr:y>
    </cdr:to>
    <cdr:pic>
      <cdr:nvPicPr>
        <cdr:cNvPr id="3" name="Graphic 6">
          <a:extLst xmlns:a="http://schemas.openxmlformats.org/drawingml/2006/main">
            <a:ext uri="{FF2B5EF4-FFF2-40B4-BE49-F238E27FC236}">
              <a16:creationId xmlns:a16="http://schemas.microsoft.com/office/drawing/2014/main" id="{FA6E0BB1-3DC7-3A66-269E-31574E8233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45251" y="3113001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0.76354</cdr:x>
      <cdr:y>0.09879</cdr:y>
    </cdr:from>
    <cdr:to>
      <cdr:x>0.89921</cdr:x>
      <cdr:y>0.34589</cdr:y>
    </cdr:to>
    <cdr:pic>
      <cdr:nvPicPr>
        <cdr:cNvPr id="4" name="Graphic 8">
          <a:extLst xmlns:a="http://schemas.openxmlformats.org/drawingml/2006/main">
            <a:ext uri="{FF2B5EF4-FFF2-40B4-BE49-F238E27FC236}">
              <a16:creationId xmlns:a16="http://schemas.microsoft.com/office/drawing/2014/main" id="{A8E1221B-CF8B-109D-A5DC-9CD1D567CC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23051" y="431800"/>
          <a:ext cx="1176787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-1</xdr:colOff>
      <xdr:row>27</xdr:row>
      <xdr:rowOff>0</xdr:rowOff>
    </xdr:from>
    <xdr:to>
      <xdr:col>10</xdr:col>
      <xdr:colOff>572914</xdr:colOff>
      <xdr:row>47</xdr:row>
      <xdr:rowOff>96343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3E4B3AC-C409-4BB8-9877-6621B8814B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7823</xdr:colOff>
      <xdr:row>257</xdr:row>
      <xdr:rowOff>75452</xdr:rowOff>
    </xdr:from>
    <xdr:ext cx="8280000" cy="4320000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6D97424-A104-4C70-B287-BCDA0A42AD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 editAs="oneCell">
    <xdr:from>
      <xdr:col>4</xdr:col>
      <xdr:colOff>0</xdr:colOff>
      <xdr:row>346</xdr:row>
      <xdr:rowOff>0</xdr:rowOff>
    </xdr:from>
    <xdr:to>
      <xdr:col>10</xdr:col>
      <xdr:colOff>572915</xdr:colOff>
      <xdr:row>366</xdr:row>
      <xdr:rowOff>31028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808B6BA-CDD3-41A1-B0D7-02B2B43439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32</xdr:col>
      <xdr:colOff>0</xdr:colOff>
      <xdr:row>51</xdr:row>
      <xdr:rowOff>0</xdr:rowOff>
    </xdr:from>
    <xdr:to>
      <xdr:col>36</xdr:col>
      <xdr:colOff>435863</xdr:colOff>
      <xdr:row>70</xdr:row>
      <xdr:rowOff>192862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22B9D740-F333-486D-A88A-6F603422D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32</xdr:col>
      <xdr:colOff>0</xdr:colOff>
      <xdr:row>72</xdr:row>
      <xdr:rowOff>0</xdr:rowOff>
    </xdr:from>
    <xdr:to>
      <xdr:col>37</xdr:col>
      <xdr:colOff>359482</xdr:colOff>
      <xdr:row>92</xdr:row>
      <xdr:rowOff>38831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0440BB2-31F5-4810-BA74-DA64F93383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</xdr:col>
      <xdr:colOff>1812</xdr:colOff>
      <xdr:row>310</xdr:row>
      <xdr:rowOff>215899</xdr:rowOff>
    </xdr:from>
    <xdr:to>
      <xdr:col>10</xdr:col>
      <xdr:colOff>574727</xdr:colOff>
      <xdr:row>330</xdr:row>
      <xdr:rowOff>181614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C45680A-984E-4E10-AD72-DF149BC960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0</xdr:colOff>
      <xdr:row>287</xdr:row>
      <xdr:rowOff>0</xdr:rowOff>
    </xdr:from>
    <xdr:ext cx="8280000" cy="4320000"/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FF2993-FF53-4FD7-A435-489489172F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-1</xdr:colOff>
      <xdr:row>369</xdr:row>
      <xdr:rowOff>0</xdr:rowOff>
    </xdr:from>
    <xdr:ext cx="8280000" cy="4320000"/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F358B946-E4AF-46F5-A2B9-9FBB0D0B3A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32</xdr:col>
      <xdr:colOff>0</xdr:colOff>
      <xdr:row>26</xdr:row>
      <xdr:rowOff>0</xdr:rowOff>
    </xdr:from>
    <xdr:to>
      <xdr:col>37</xdr:col>
      <xdr:colOff>288218</xdr:colOff>
      <xdr:row>46</xdr:row>
      <xdr:rowOff>207632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343ACC-55ED-4294-9555-E07F5F15D1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37</xdr:col>
      <xdr:colOff>167640</xdr:colOff>
      <xdr:row>27</xdr:row>
      <xdr:rowOff>0</xdr:rowOff>
    </xdr:from>
    <xdr:to>
      <xdr:col>42</xdr:col>
      <xdr:colOff>2914814</xdr:colOff>
      <xdr:row>47</xdr:row>
      <xdr:rowOff>170476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5ED4A8-F94A-4E17-9125-FF8EAAEDF9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37</xdr:col>
      <xdr:colOff>0</xdr:colOff>
      <xdr:row>51</xdr:row>
      <xdr:rowOff>0</xdr:rowOff>
    </xdr:from>
    <xdr:to>
      <xdr:col>42</xdr:col>
      <xdr:colOff>2762088</xdr:colOff>
      <xdr:row>71</xdr:row>
      <xdr:rowOff>18121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6CCEA10-28EB-4C13-92BD-BAF229EF45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37</xdr:col>
      <xdr:colOff>0</xdr:colOff>
      <xdr:row>72</xdr:row>
      <xdr:rowOff>0</xdr:rowOff>
    </xdr:from>
    <xdr:to>
      <xdr:col>42</xdr:col>
      <xdr:colOff>2762088</xdr:colOff>
      <xdr:row>92</xdr:row>
      <xdr:rowOff>95600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1258D50-4002-43E5-A546-8368A62F2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-1</xdr:colOff>
      <xdr:row>158</xdr:row>
      <xdr:rowOff>0</xdr:rowOff>
    </xdr:from>
    <xdr:to>
      <xdr:col>10</xdr:col>
      <xdr:colOff>572914</xdr:colOff>
      <xdr:row>177</xdr:row>
      <xdr:rowOff>183429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029E2EA-16AF-4608-A15A-07D59FF8C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32</xdr:col>
      <xdr:colOff>0</xdr:colOff>
      <xdr:row>158</xdr:row>
      <xdr:rowOff>0</xdr:rowOff>
    </xdr:from>
    <xdr:to>
      <xdr:col>37</xdr:col>
      <xdr:colOff>325774</xdr:colOff>
      <xdr:row>178</xdr:row>
      <xdr:rowOff>15383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163F727-C1FC-4AB1-8AED-539EF334CA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32</xdr:col>
      <xdr:colOff>0</xdr:colOff>
      <xdr:row>182</xdr:row>
      <xdr:rowOff>0</xdr:rowOff>
    </xdr:from>
    <xdr:to>
      <xdr:col>37</xdr:col>
      <xdr:colOff>893064</xdr:colOff>
      <xdr:row>207</xdr:row>
      <xdr:rowOff>131560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599F95A1-B23D-41AE-BA0F-B3A502C1A8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38</xdr:col>
      <xdr:colOff>0</xdr:colOff>
      <xdr:row>182</xdr:row>
      <xdr:rowOff>0</xdr:rowOff>
    </xdr:from>
    <xdr:to>
      <xdr:col>45</xdr:col>
      <xdr:colOff>16766</xdr:colOff>
      <xdr:row>208</xdr:row>
      <xdr:rowOff>54867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DC34C3C-6196-4C0E-A7D0-2AE187D3E3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38</xdr:col>
      <xdr:colOff>0</xdr:colOff>
      <xdr:row>212</xdr:row>
      <xdr:rowOff>0</xdr:rowOff>
    </xdr:from>
    <xdr:to>
      <xdr:col>43</xdr:col>
      <xdr:colOff>1355924</xdr:colOff>
      <xdr:row>237</xdr:row>
      <xdr:rowOff>18893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99FC0C2F-F1A0-4A2E-A52B-FEBED25FF2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32</xdr:col>
      <xdr:colOff>0</xdr:colOff>
      <xdr:row>257</xdr:row>
      <xdr:rowOff>0</xdr:rowOff>
    </xdr:from>
    <xdr:ext cx="7954916" cy="4320000"/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52D1696F-BD45-466A-8623-365E4B69A1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11</xdr:col>
      <xdr:colOff>0</xdr:colOff>
      <xdr:row>287</xdr:row>
      <xdr:rowOff>0</xdr:rowOff>
    </xdr:from>
    <xdr:ext cx="8737599" cy="4320000"/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7D64576A-628D-413B-B491-D8BF2534A2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32</xdr:col>
      <xdr:colOff>0</xdr:colOff>
      <xdr:row>287</xdr:row>
      <xdr:rowOff>0</xdr:rowOff>
    </xdr:from>
    <xdr:ext cx="8477250" cy="4320000"/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A8CEF1A2-7C6D-4F2F-B2BB-906C639890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38</xdr:col>
      <xdr:colOff>0</xdr:colOff>
      <xdr:row>287</xdr:row>
      <xdr:rowOff>0</xdr:rowOff>
    </xdr:from>
    <xdr:ext cx="8737599" cy="4320000"/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194C1777-7F04-4DA3-97B4-4B0B1D01EB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3</xdr:col>
      <xdr:colOff>359228</xdr:colOff>
      <xdr:row>394</xdr:row>
      <xdr:rowOff>0</xdr:rowOff>
    </xdr:from>
    <xdr:ext cx="8280000" cy="4320000"/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475D7697-D5B2-43B1-9FE4-FBC6F8661A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32</xdr:col>
      <xdr:colOff>0</xdr:colOff>
      <xdr:row>369</xdr:row>
      <xdr:rowOff>0</xdr:rowOff>
    </xdr:from>
    <xdr:ext cx="8549640" cy="4320000"/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DFDC4AF2-502E-4B04-86D6-8C3DF7562E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38</xdr:col>
      <xdr:colOff>0</xdr:colOff>
      <xdr:row>369</xdr:row>
      <xdr:rowOff>0</xdr:rowOff>
    </xdr:from>
    <xdr:ext cx="8656320" cy="4320000"/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3D1D86B-EE19-45FC-8F4D-6A79D1FC98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32</xdr:col>
      <xdr:colOff>0</xdr:colOff>
      <xdr:row>394</xdr:row>
      <xdr:rowOff>0</xdr:rowOff>
    </xdr:from>
    <xdr:ext cx="7881257" cy="4320000"/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0E74C2A-86E2-4C30-B58B-2F84943FDF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4</xdr:col>
      <xdr:colOff>95795</xdr:colOff>
      <xdr:row>442</xdr:row>
      <xdr:rowOff>89263</xdr:rowOff>
    </xdr:from>
    <xdr:to>
      <xdr:col>10</xdr:col>
      <xdr:colOff>279765</xdr:colOff>
      <xdr:row>468</xdr:row>
      <xdr:rowOff>130706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2075554C-6EF4-4DB6-A9EB-6DDA37C733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198120</xdr:colOff>
      <xdr:row>442</xdr:row>
      <xdr:rowOff>106680</xdr:rowOff>
    </xdr:from>
    <xdr:to>
      <xdr:col>17</xdr:col>
      <xdr:colOff>925904</xdr:colOff>
      <xdr:row>468</xdr:row>
      <xdr:rowOff>135824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A97E578E-A69B-43F2-A535-9080BE0F90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4</xdr:col>
      <xdr:colOff>0</xdr:colOff>
      <xdr:row>472</xdr:row>
      <xdr:rowOff>0</xdr:rowOff>
    </xdr:from>
    <xdr:ext cx="8280000" cy="4320000"/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55247D75-40EF-439C-A834-91CB1AD600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11</xdr:col>
      <xdr:colOff>0</xdr:colOff>
      <xdr:row>472</xdr:row>
      <xdr:rowOff>0</xdr:rowOff>
    </xdr:from>
    <xdr:ext cx="8280000" cy="4320000"/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E9DD5948-7B5A-4CAA-873F-DE2A84E6BB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10</xdr:col>
      <xdr:colOff>805542</xdr:colOff>
      <xdr:row>518</xdr:row>
      <xdr:rowOff>0</xdr:rowOff>
    </xdr:from>
    <xdr:ext cx="8280000" cy="4320000"/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18F06E8D-E2B1-409F-A7B9-D5D221F4D6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4</xdr:col>
      <xdr:colOff>-1</xdr:colOff>
      <xdr:row>578</xdr:row>
      <xdr:rowOff>0</xdr:rowOff>
    </xdr:from>
    <xdr:ext cx="8280000" cy="4320000"/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19943769-1945-4570-A44E-71F9F9A871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4</xdr:col>
      <xdr:colOff>0</xdr:colOff>
      <xdr:row>601</xdr:row>
      <xdr:rowOff>0</xdr:rowOff>
    </xdr:from>
    <xdr:ext cx="8280000" cy="4320000"/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A8CDA3AA-1DE5-4682-AB4B-C7842C4E15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twoCellAnchor editAs="oneCell">
    <xdr:from>
      <xdr:col>4</xdr:col>
      <xdr:colOff>0</xdr:colOff>
      <xdr:row>636</xdr:row>
      <xdr:rowOff>0</xdr:rowOff>
    </xdr:from>
    <xdr:to>
      <xdr:col>10</xdr:col>
      <xdr:colOff>68162</xdr:colOff>
      <xdr:row>656</xdr:row>
      <xdr:rowOff>134355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EBF93F62-DA64-4F8A-AF11-F03500A4FB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4</xdr:col>
      <xdr:colOff>-1</xdr:colOff>
      <xdr:row>660</xdr:row>
      <xdr:rowOff>0</xdr:rowOff>
    </xdr:from>
    <xdr:ext cx="82800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5A66A099-E12C-419E-846F-FD763DDE82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oneCellAnchor>
  <xdr:oneCellAnchor>
    <xdr:from>
      <xdr:col>4</xdr:col>
      <xdr:colOff>-1</xdr:colOff>
      <xdr:row>741</xdr:row>
      <xdr:rowOff>0</xdr:rowOff>
    </xdr:from>
    <xdr:ext cx="8280000" cy="4320000"/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7649729-6C3F-400B-B4E2-B93D777BEB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3</xdr:col>
      <xdr:colOff>359228</xdr:colOff>
      <xdr:row>763</xdr:row>
      <xdr:rowOff>210093</xdr:rowOff>
    </xdr:from>
    <xdr:ext cx="8280000" cy="4320000"/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891443F7-A11E-45E7-B976-72CAEF3E5E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oneCellAnchor>
    <xdr:from>
      <xdr:col>4</xdr:col>
      <xdr:colOff>-1</xdr:colOff>
      <xdr:row>494</xdr:row>
      <xdr:rowOff>0</xdr:rowOff>
    </xdr:from>
    <xdr:ext cx="8280000" cy="432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59FF6F-3541-4A4B-B47E-562ED4D212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oneCellAnchor>
  <xdr:oneCellAnchor>
    <xdr:from>
      <xdr:col>4</xdr:col>
      <xdr:colOff>0</xdr:colOff>
      <xdr:row>554</xdr:row>
      <xdr:rowOff>0</xdr:rowOff>
    </xdr:from>
    <xdr:ext cx="7867966" cy="432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F53C90-A048-4E4B-81A1-90A9B972BF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oneCellAnchor>
  <xdr:oneCellAnchor>
    <xdr:from>
      <xdr:col>4</xdr:col>
      <xdr:colOff>0</xdr:colOff>
      <xdr:row>684</xdr:row>
      <xdr:rowOff>0</xdr:rowOff>
    </xdr:from>
    <xdr:ext cx="8280000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834EA0D-1136-4CA3-907F-3E4AEB1754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10</xdr:col>
      <xdr:colOff>805542</xdr:colOff>
      <xdr:row>684</xdr:row>
      <xdr:rowOff>0</xdr:rowOff>
    </xdr:from>
    <xdr:ext cx="8280000" cy="4320000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17BCFD-C175-47FB-A321-AC613F61FC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twoCellAnchor editAs="oneCell">
    <xdr:from>
      <xdr:col>32</xdr:col>
      <xdr:colOff>0</xdr:colOff>
      <xdr:row>442</xdr:row>
      <xdr:rowOff>0</xdr:rowOff>
    </xdr:from>
    <xdr:to>
      <xdr:col>37</xdr:col>
      <xdr:colOff>323036</xdr:colOff>
      <xdr:row>468</xdr:row>
      <xdr:rowOff>37090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C2F90-6BFE-4F19-B050-8AB7628011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37</xdr:col>
      <xdr:colOff>1470660</xdr:colOff>
      <xdr:row>442</xdr:row>
      <xdr:rowOff>84909</xdr:rowOff>
    </xdr:from>
    <xdr:to>
      <xdr:col>43</xdr:col>
      <xdr:colOff>1159763</xdr:colOff>
      <xdr:row>468</xdr:row>
      <xdr:rowOff>133917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5443E1D-2FA3-4E34-B6ED-59F461CB98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32</xdr:col>
      <xdr:colOff>0</xdr:colOff>
      <xdr:row>346</xdr:row>
      <xdr:rowOff>0</xdr:rowOff>
    </xdr:from>
    <xdr:to>
      <xdr:col>37</xdr:col>
      <xdr:colOff>321381</xdr:colOff>
      <xdr:row>366</xdr:row>
      <xdr:rowOff>116844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873F6B7-B302-41F5-B757-25F849AEE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oneCellAnchor>
    <xdr:from>
      <xdr:col>32</xdr:col>
      <xdr:colOff>0</xdr:colOff>
      <xdr:row>472</xdr:row>
      <xdr:rowOff>0</xdr:rowOff>
    </xdr:from>
    <xdr:ext cx="8991600" cy="4320000"/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28C41B2-35D5-4FEA-8186-64848F1DCB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oneCellAnchor>
  <xdr:oneCellAnchor>
    <xdr:from>
      <xdr:col>38</xdr:col>
      <xdr:colOff>-1</xdr:colOff>
      <xdr:row>472</xdr:row>
      <xdr:rowOff>0</xdr:rowOff>
    </xdr:from>
    <xdr:ext cx="8545285" cy="4320000"/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095184D-7A52-4D5F-B2E5-E6291A2A7F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oneCellAnchor>
  <xdr:oneCellAnchor>
    <xdr:from>
      <xdr:col>32</xdr:col>
      <xdr:colOff>0</xdr:colOff>
      <xdr:row>493</xdr:row>
      <xdr:rowOff>0</xdr:rowOff>
    </xdr:from>
    <xdr:ext cx="7946571" cy="4320000"/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F3191FE-BDFC-4320-8505-C3AD45C4B7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oneCellAnchor>
  <xdr:oneCellAnchor>
    <xdr:from>
      <xdr:col>32</xdr:col>
      <xdr:colOff>0</xdr:colOff>
      <xdr:row>518</xdr:row>
      <xdr:rowOff>0</xdr:rowOff>
    </xdr:from>
    <xdr:ext cx="7870374" cy="4320000"/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8A5F57C-23BA-4B3C-9E2B-46D5E95C4E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oneCellAnchor>
  <xdr:oneCellAnchor>
    <xdr:from>
      <xdr:col>38</xdr:col>
      <xdr:colOff>0</xdr:colOff>
      <xdr:row>518</xdr:row>
      <xdr:rowOff>0</xdr:rowOff>
    </xdr:from>
    <xdr:ext cx="8183880" cy="4320000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9C14537B-9C97-424B-B370-2F7EC90B87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oneCellAnchor>
  <xdr:oneCellAnchor>
    <xdr:from>
      <xdr:col>32</xdr:col>
      <xdr:colOff>0</xdr:colOff>
      <xdr:row>554</xdr:row>
      <xdr:rowOff>0</xdr:rowOff>
    </xdr:from>
    <xdr:ext cx="7867966" cy="4320000"/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729D4C76-5534-4484-B0EC-E8A38E7440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oneCellAnchor>
  <xdr:oneCellAnchor>
    <xdr:from>
      <xdr:col>32</xdr:col>
      <xdr:colOff>0</xdr:colOff>
      <xdr:row>578</xdr:row>
      <xdr:rowOff>0</xdr:rowOff>
    </xdr:from>
    <xdr:ext cx="7870373" cy="4320000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D07DD321-7A6B-4019-9B60-FE7332CE1B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oneCellAnchor>
  <xdr:oneCellAnchor>
    <xdr:from>
      <xdr:col>32</xdr:col>
      <xdr:colOff>0</xdr:colOff>
      <xdr:row>601</xdr:row>
      <xdr:rowOff>0</xdr:rowOff>
    </xdr:from>
    <xdr:ext cx="7837714" cy="4320000"/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738A40A2-9F66-4939-9811-2214354E47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oneCellAnchor>
  <xdr:oneCellAnchor>
    <xdr:from>
      <xdr:col>37</xdr:col>
      <xdr:colOff>0</xdr:colOff>
      <xdr:row>601</xdr:row>
      <xdr:rowOff>0</xdr:rowOff>
    </xdr:from>
    <xdr:ext cx="7859486" cy="4320000"/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884FC2E2-EFE5-48A1-BCDA-BC2B6DF1EE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oneCellAnchor>
  <xdr:twoCellAnchor editAs="oneCell">
    <xdr:from>
      <xdr:col>32</xdr:col>
      <xdr:colOff>0</xdr:colOff>
      <xdr:row>636</xdr:row>
      <xdr:rowOff>0</xdr:rowOff>
    </xdr:from>
    <xdr:to>
      <xdr:col>37</xdr:col>
      <xdr:colOff>249682</xdr:colOff>
      <xdr:row>656</xdr:row>
      <xdr:rowOff>131361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792F73C8-6190-49E3-A124-16F3C29190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oneCellAnchor>
    <xdr:from>
      <xdr:col>31</xdr:col>
      <xdr:colOff>624115</xdr:colOff>
      <xdr:row>659</xdr:row>
      <xdr:rowOff>185058</xdr:rowOff>
    </xdr:from>
    <xdr:ext cx="8496300" cy="4320000"/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30391D24-6021-4496-91D6-F530513269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oneCellAnchor>
  <xdr:oneCellAnchor>
    <xdr:from>
      <xdr:col>32</xdr:col>
      <xdr:colOff>0</xdr:colOff>
      <xdr:row>683</xdr:row>
      <xdr:rowOff>190500</xdr:rowOff>
    </xdr:from>
    <xdr:ext cx="7892142" cy="4320000"/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742C964-0B35-4F46-957B-49D0449D0E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oneCellAnchor>
  <xdr:oneCellAnchor>
    <xdr:from>
      <xdr:col>32</xdr:col>
      <xdr:colOff>0</xdr:colOff>
      <xdr:row>718</xdr:row>
      <xdr:rowOff>0</xdr:rowOff>
    </xdr:from>
    <xdr:ext cx="7809412" cy="4268406"/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D96D099-8F2E-4BFB-BD4A-D82814B07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oneCellAnchor>
  <xdr:oneCellAnchor>
    <xdr:from>
      <xdr:col>32</xdr:col>
      <xdr:colOff>0</xdr:colOff>
      <xdr:row>741</xdr:row>
      <xdr:rowOff>0</xdr:rowOff>
    </xdr:from>
    <xdr:ext cx="7779527" cy="4320000"/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BA4624B0-200E-4EBE-AFD3-35C20D3A1C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oneCellAnchor>
  <xdr:oneCellAnchor>
    <xdr:from>
      <xdr:col>31</xdr:col>
      <xdr:colOff>642256</xdr:colOff>
      <xdr:row>764</xdr:row>
      <xdr:rowOff>43543</xdr:rowOff>
    </xdr:from>
    <xdr:ext cx="7598153" cy="4053299"/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0A72C9A-D973-4CCA-9B1A-92F577563F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oneCellAnchor>
  <xdr:oneCellAnchor>
    <xdr:from>
      <xdr:col>37</xdr:col>
      <xdr:colOff>114300</xdr:colOff>
      <xdr:row>764</xdr:row>
      <xdr:rowOff>0</xdr:rowOff>
    </xdr:from>
    <xdr:ext cx="7892143" cy="4053299"/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A8103CA-6514-4EE9-8F04-7BAEC2F4DC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oneCellAnchor>
  <xdr:oneCellAnchor>
    <xdr:from>
      <xdr:col>37</xdr:col>
      <xdr:colOff>0</xdr:colOff>
      <xdr:row>741</xdr:row>
      <xdr:rowOff>0</xdr:rowOff>
    </xdr:from>
    <xdr:ext cx="7892143" cy="4320000"/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737C0AFE-AC38-4DD3-B6DC-958F079CA5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oneCellAnchor>
  <xdr:twoCellAnchor editAs="oneCell">
    <xdr:from>
      <xdr:col>4</xdr:col>
      <xdr:colOff>-1</xdr:colOff>
      <xdr:row>72</xdr:row>
      <xdr:rowOff>0</xdr:rowOff>
    </xdr:from>
    <xdr:to>
      <xdr:col>10</xdr:col>
      <xdr:colOff>572914</xdr:colOff>
      <xdr:row>91</xdr:row>
      <xdr:rowOff>183429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8E1E183-4CF1-4E6F-8951-0EA7840144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4</xdr:col>
      <xdr:colOff>0</xdr:colOff>
      <xdr:row>182</xdr:row>
      <xdr:rowOff>0</xdr:rowOff>
    </xdr:from>
    <xdr:to>
      <xdr:col>10</xdr:col>
      <xdr:colOff>572915</xdr:colOff>
      <xdr:row>208</xdr:row>
      <xdr:rowOff>41914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3A140DDF-5A8E-4F28-A1CA-1D4522264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10</xdr:col>
      <xdr:colOff>805542</xdr:colOff>
      <xdr:row>182</xdr:row>
      <xdr:rowOff>0</xdr:rowOff>
    </xdr:from>
    <xdr:to>
      <xdr:col>17</xdr:col>
      <xdr:colOff>1132439</xdr:colOff>
      <xdr:row>208</xdr:row>
      <xdr:rowOff>41914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7A400A40-7071-4025-A818-163B71E03D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4</xdr:col>
      <xdr:colOff>-1</xdr:colOff>
      <xdr:row>212</xdr:row>
      <xdr:rowOff>-1</xdr:rowOff>
    </xdr:from>
    <xdr:to>
      <xdr:col>10</xdr:col>
      <xdr:colOff>572914</xdr:colOff>
      <xdr:row>238</xdr:row>
      <xdr:rowOff>74571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A7BA309-C15C-4835-B06C-54E2FF66F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11</xdr:col>
      <xdr:colOff>0</xdr:colOff>
      <xdr:row>212</xdr:row>
      <xdr:rowOff>-1</xdr:rowOff>
    </xdr:from>
    <xdr:to>
      <xdr:col>17</xdr:col>
      <xdr:colOff>1138972</xdr:colOff>
      <xdr:row>238</xdr:row>
      <xdr:rowOff>74571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B470FDD5-1DBB-4CCA-8559-994DDA0DE0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226785</xdr:colOff>
      <xdr:row>269</xdr:row>
      <xdr:rowOff>65314</xdr:rowOff>
    </xdr:from>
    <xdr:to>
      <xdr:col>7</xdr:col>
      <xdr:colOff>956128</xdr:colOff>
      <xdr:row>273</xdr:row>
      <xdr:rowOff>97971</xdr:rowOff>
    </xdr:to>
    <xdr:sp macro="" textlink="$A$257">
      <xdr:nvSpPr>
        <xdr:cNvPr id="13" name="TextBox 12">
          <a:extLst>
            <a:ext uri="{FF2B5EF4-FFF2-40B4-BE49-F238E27FC236}">
              <a16:creationId xmlns:a16="http://schemas.microsoft.com/office/drawing/2014/main" id="{43F01129-07CD-1889-DBA1-DBDEC422CAA7}"/>
            </a:ext>
          </a:extLst>
        </xdr:cNvPr>
        <xdr:cNvSpPr txBox="1"/>
      </xdr:nvSpPr>
      <xdr:spPr>
        <a:xfrm>
          <a:off x="4989285" y="60720514"/>
          <a:ext cx="729343" cy="693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4FF4EE-23CA-4F3C-930D-003704D704A2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ORKA 2024</a:t>
          </a:fld>
          <a:endParaRPr lang="is-I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783772</xdr:colOff>
      <xdr:row>645</xdr:row>
      <xdr:rowOff>10885</xdr:rowOff>
    </xdr:from>
    <xdr:to>
      <xdr:col>7</xdr:col>
      <xdr:colOff>413657</xdr:colOff>
      <xdr:row>648</xdr:row>
      <xdr:rowOff>130628</xdr:rowOff>
    </xdr:to>
    <xdr:sp macro="" textlink="$A$636">
      <xdr:nvSpPr>
        <xdr:cNvPr id="17" name="TextBox 16">
          <a:extLst>
            <a:ext uri="{FF2B5EF4-FFF2-40B4-BE49-F238E27FC236}">
              <a16:creationId xmlns:a16="http://schemas.microsoft.com/office/drawing/2014/main" id="{7E6DA2C7-7BEA-1ACD-B55B-CC9452F830D0}"/>
            </a:ext>
          </a:extLst>
        </xdr:cNvPr>
        <xdr:cNvSpPr txBox="1"/>
      </xdr:nvSpPr>
      <xdr:spPr>
        <a:xfrm>
          <a:off x="5192486" y="149645914"/>
          <a:ext cx="1600200" cy="729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4E38A9C-F78F-4414-94A1-CED63256E33D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ÚRGANGUR 2024</a:t>
          </a:fld>
          <a:endParaRPr lang="is-IS" sz="18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</xdr:col>
      <xdr:colOff>0</xdr:colOff>
      <xdr:row>718</xdr:row>
      <xdr:rowOff>0</xdr:rowOff>
    </xdr:from>
    <xdr:ext cx="7809412" cy="4268406"/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CABD71A6-0ACC-4E7A-8061-703636C0CC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oneCellAnchor>
  <xdr:oneCellAnchor>
    <xdr:from>
      <xdr:col>4</xdr:col>
      <xdr:colOff>0</xdr:colOff>
      <xdr:row>97</xdr:row>
      <xdr:rowOff>0</xdr:rowOff>
    </xdr:from>
    <xdr:ext cx="8280000" cy="4320000"/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C789A02C-57C2-4447-AE3E-A500621404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oneCellAnchor>
  <xdr:oneCellAnchor>
    <xdr:from>
      <xdr:col>4</xdr:col>
      <xdr:colOff>0</xdr:colOff>
      <xdr:row>118</xdr:row>
      <xdr:rowOff>-1</xdr:rowOff>
    </xdr:from>
    <xdr:ext cx="8280000" cy="4320000"/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51291E9-3A0B-4773-82CA-425EABE8EA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oneCellAnchor>
  <xdr:oneCellAnchor>
    <xdr:from>
      <xdr:col>4</xdr:col>
      <xdr:colOff>0</xdr:colOff>
      <xdr:row>518</xdr:row>
      <xdr:rowOff>0</xdr:rowOff>
    </xdr:from>
    <xdr:ext cx="8280000" cy="4320000"/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4704450D-0561-45D1-BAA7-34D3A9DE35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oneCellAnchor>
  <xdr:oneCellAnchor>
    <xdr:from>
      <xdr:col>11</xdr:col>
      <xdr:colOff>0</xdr:colOff>
      <xdr:row>764</xdr:row>
      <xdr:rowOff>0</xdr:rowOff>
    </xdr:from>
    <xdr:ext cx="8280000" cy="4320000"/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322D74BA-ABEE-4AF5-94D5-999BBD9301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oneCellAnchor>
  <xdr:twoCellAnchor editAs="oneCell">
    <xdr:from>
      <xdr:col>10</xdr:col>
      <xdr:colOff>805542</xdr:colOff>
      <xdr:row>27</xdr:row>
      <xdr:rowOff>0</xdr:rowOff>
    </xdr:from>
    <xdr:to>
      <xdr:col>17</xdr:col>
      <xdr:colOff>1132439</xdr:colOff>
      <xdr:row>47</xdr:row>
      <xdr:rowOff>96343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4D3AAD61-88E3-41BB-B2B5-B7E60F9454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4</xdr:col>
      <xdr:colOff>0</xdr:colOff>
      <xdr:row>51</xdr:row>
      <xdr:rowOff>0</xdr:rowOff>
    </xdr:from>
    <xdr:to>
      <xdr:col>10</xdr:col>
      <xdr:colOff>572915</xdr:colOff>
      <xdr:row>70</xdr:row>
      <xdr:rowOff>150770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064E7FB-B499-4CBF-9438-2533C26A0A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11</xdr:col>
      <xdr:colOff>0</xdr:colOff>
      <xdr:row>51</xdr:row>
      <xdr:rowOff>0</xdr:rowOff>
    </xdr:from>
    <xdr:to>
      <xdr:col>17</xdr:col>
      <xdr:colOff>744384</xdr:colOff>
      <xdr:row>70</xdr:row>
      <xdr:rowOff>150770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4F04D136-ED83-48BC-945A-8C13C1C559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10</xdr:col>
      <xdr:colOff>805542</xdr:colOff>
      <xdr:row>72</xdr:row>
      <xdr:rowOff>0</xdr:rowOff>
    </xdr:from>
    <xdr:to>
      <xdr:col>17</xdr:col>
      <xdr:colOff>1132439</xdr:colOff>
      <xdr:row>91</xdr:row>
      <xdr:rowOff>183429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82D50FEE-05A2-4E50-91EF-A14B511288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oneCellAnchor>
    <xdr:from>
      <xdr:col>10</xdr:col>
      <xdr:colOff>729343</xdr:colOff>
      <xdr:row>97</xdr:row>
      <xdr:rowOff>21771</xdr:rowOff>
    </xdr:from>
    <xdr:ext cx="8280000" cy="4320000"/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BE0B0798-9A47-409F-99DC-ED560DF4A1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oneCellAnchor>
  <xdr:twoCellAnchor editAs="oneCell">
    <xdr:from>
      <xdr:col>18</xdr:col>
      <xdr:colOff>0</xdr:colOff>
      <xdr:row>97</xdr:row>
      <xdr:rowOff>0</xdr:rowOff>
    </xdr:from>
    <xdr:to>
      <xdr:col>29</xdr:col>
      <xdr:colOff>222394</xdr:colOff>
      <xdr:row>116</xdr:row>
      <xdr:rowOff>183429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9144B009-3985-4D64-81FC-2E90F6DDCC7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oneCellAnchor>
    <xdr:from>
      <xdr:col>11</xdr:col>
      <xdr:colOff>0</xdr:colOff>
      <xdr:row>118</xdr:row>
      <xdr:rowOff>0</xdr:rowOff>
    </xdr:from>
    <xdr:ext cx="8280000" cy="4320000"/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0F80D8D2-8460-4B83-8998-AFD81A0099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oneCellAnchor>
  <xdr:twoCellAnchor editAs="oneCell">
    <xdr:from>
      <xdr:col>18</xdr:col>
      <xdr:colOff>0</xdr:colOff>
      <xdr:row>118</xdr:row>
      <xdr:rowOff>0</xdr:rowOff>
    </xdr:from>
    <xdr:to>
      <xdr:col>29</xdr:col>
      <xdr:colOff>222394</xdr:colOff>
      <xdr:row>137</xdr:row>
      <xdr:rowOff>183429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352DC887-EE19-4E2C-8173-00A6DD5D29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oneCellAnchor>
    <xdr:from>
      <xdr:col>11</xdr:col>
      <xdr:colOff>0</xdr:colOff>
      <xdr:row>369</xdr:row>
      <xdr:rowOff>0</xdr:rowOff>
    </xdr:from>
    <xdr:ext cx="8280000" cy="4320000"/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9CC5BCA8-7554-4B36-B1ED-AB0292FE22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oneCellAnchor>
  <xdr:oneCellAnchor>
    <xdr:from>
      <xdr:col>11</xdr:col>
      <xdr:colOff>0</xdr:colOff>
      <xdr:row>601</xdr:row>
      <xdr:rowOff>0</xdr:rowOff>
    </xdr:from>
    <xdr:ext cx="8280000" cy="4320000"/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D04BED03-7649-46C2-9ECC-4645A6B737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oneCellAnchor>
  <xdr:oneCellAnchor>
    <xdr:from>
      <xdr:col>11</xdr:col>
      <xdr:colOff>0</xdr:colOff>
      <xdr:row>741</xdr:row>
      <xdr:rowOff>0</xdr:rowOff>
    </xdr:from>
    <xdr:ext cx="8280000" cy="4320000"/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BBCF4C14-00B9-452C-A7EC-1B2E7BCDA4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oneCellAnchor>
  <xdr:oneCellAnchor>
    <xdr:from>
      <xdr:col>32</xdr:col>
      <xdr:colOff>0</xdr:colOff>
      <xdr:row>97</xdr:row>
      <xdr:rowOff>0</xdr:rowOff>
    </xdr:from>
    <xdr:ext cx="7680000" cy="4320000"/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D7F11936-3E7D-4E04-ABD4-531D2ED9E4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oneCellAnchor>
  <xdr:oneCellAnchor>
    <xdr:from>
      <xdr:col>37</xdr:col>
      <xdr:colOff>0</xdr:colOff>
      <xdr:row>97</xdr:row>
      <xdr:rowOff>0</xdr:rowOff>
    </xdr:from>
    <xdr:ext cx="7680000" cy="4320000"/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B7ABB38E-60BA-402D-BCD3-8DCEFF6F02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oneCellAnchor>
  <xdr:twoCellAnchor editAs="oneCell">
    <xdr:from>
      <xdr:col>42</xdr:col>
      <xdr:colOff>2438400</xdr:colOff>
      <xdr:row>97</xdr:row>
      <xdr:rowOff>106680</xdr:rowOff>
    </xdr:from>
    <xdr:to>
      <xdr:col>49</xdr:col>
      <xdr:colOff>578160</xdr:colOff>
      <xdr:row>117</xdr:row>
      <xdr:rowOff>159480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660FDE36-49E0-4211-9A19-DD73EC416B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oneCellAnchor>
    <xdr:from>
      <xdr:col>32</xdr:col>
      <xdr:colOff>0</xdr:colOff>
      <xdr:row>118</xdr:row>
      <xdr:rowOff>0</xdr:rowOff>
    </xdr:from>
    <xdr:ext cx="7680000" cy="4320000"/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93BE2EE1-3B70-4AE2-A7A2-9FEF7B746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oneCellAnchor>
  <xdr:oneCellAnchor>
    <xdr:from>
      <xdr:col>37</xdr:col>
      <xdr:colOff>0</xdr:colOff>
      <xdr:row>118</xdr:row>
      <xdr:rowOff>0</xdr:rowOff>
    </xdr:from>
    <xdr:ext cx="7680000" cy="4320000"/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980451DE-4B1D-4E09-9F3E-B6D56B4DF6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oneCellAnchor>
  <xdr:twoCellAnchor editAs="oneCell">
    <xdr:from>
      <xdr:col>42</xdr:col>
      <xdr:colOff>2362200</xdr:colOff>
      <xdr:row>118</xdr:row>
      <xdr:rowOff>30480</xdr:rowOff>
    </xdr:from>
    <xdr:to>
      <xdr:col>49</xdr:col>
      <xdr:colOff>501960</xdr:colOff>
      <xdr:row>138</xdr:row>
      <xdr:rowOff>83280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16CE2540-7A51-46DA-86F2-33B4BAF24D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oneCell">
    <xdr:from>
      <xdr:col>32</xdr:col>
      <xdr:colOff>0</xdr:colOff>
      <xdr:row>212</xdr:row>
      <xdr:rowOff>0</xdr:rowOff>
    </xdr:from>
    <xdr:to>
      <xdr:col>37</xdr:col>
      <xdr:colOff>151440</xdr:colOff>
      <xdr:row>237</xdr:row>
      <xdr:rowOff>129000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AE09F079-437C-422B-9188-74C5910181A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oneCellAnchor>
    <xdr:from>
      <xdr:col>11</xdr:col>
      <xdr:colOff>0</xdr:colOff>
      <xdr:row>494</xdr:row>
      <xdr:rowOff>0</xdr:rowOff>
    </xdr:from>
    <xdr:ext cx="8280000" cy="4320000"/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55DA27C3-7D89-4A17-8960-415155888F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oneCellAnchor>
  <xdr:oneCellAnchor>
    <xdr:from>
      <xdr:col>18</xdr:col>
      <xdr:colOff>0</xdr:colOff>
      <xdr:row>494</xdr:row>
      <xdr:rowOff>0</xdr:rowOff>
    </xdr:from>
    <xdr:ext cx="8280000" cy="4320000"/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0DBB830C-58AF-41F7-902E-190A6264B2B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oneCellAnchor>
  <xdr:oneCellAnchor>
    <xdr:from>
      <xdr:col>43</xdr:col>
      <xdr:colOff>0</xdr:colOff>
      <xdr:row>311</xdr:row>
      <xdr:rowOff>0</xdr:rowOff>
    </xdr:from>
    <xdr:ext cx="7892143" cy="4320000"/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05784777-EF9C-4F37-998F-CBFB076249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oneCellAnchor>
  <xdr:twoCellAnchor editAs="oneCell">
    <xdr:from>
      <xdr:col>37</xdr:col>
      <xdr:colOff>0</xdr:colOff>
      <xdr:row>311</xdr:row>
      <xdr:rowOff>0</xdr:rowOff>
    </xdr:from>
    <xdr:to>
      <xdr:col>42</xdr:col>
      <xdr:colOff>2561900</xdr:colOff>
      <xdr:row>331</xdr:row>
      <xdr:rowOff>2000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95E751F9-4C69-4244-8075-9CB609509C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32</xdr:col>
      <xdr:colOff>0</xdr:colOff>
      <xdr:row>311</xdr:row>
      <xdr:rowOff>0</xdr:rowOff>
    </xdr:from>
    <xdr:to>
      <xdr:col>37</xdr:col>
      <xdr:colOff>148900</xdr:colOff>
      <xdr:row>331</xdr:row>
      <xdr:rowOff>2000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7144F590-512B-446C-859E-D0FAE5E757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10</xdr:col>
      <xdr:colOff>76200</xdr:colOff>
      <xdr:row>311</xdr:row>
      <xdr:rowOff>0</xdr:rowOff>
    </xdr:from>
    <xdr:to>
      <xdr:col>17</xdr:col>
      <xdr:colOff>469500</xdr:colOff>
      <xdr:row>331</xdr:row>
      <xdr:rowOff>2000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57F27CE6-F35A-4856-95D2-F1D9C03E6E0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oneCellAnchor>
    <xdr:from>
      <xdr:col>18</xdr:col>
      <xdr:colOff>0</xdr:colOff>
      <xdr:row>311</xdr:row>
      <xdr:rowOff>0</xdr:rowOff>
    </xdr:from>
    <xdr:ext cx="8280000" cy="4320000"/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88A633D-C6DB-41CE-BA82-C450E5B019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oneCellAnchor>
  <xdr:twoCellAnchor editAs="oneCell">
    <xdr:from>
      <xdr:col>11</xdr:col>
      <xdr:colOff>0</xdr:colOff>
      <xdr:row>394</xdr:row>
      <xdr:rowOff>0</xdr:rowOff>
    </xdr:from>
    <xdr:to>
      <xdr:col>17</xdr:col>
      <xdr:colOff>1142600</xdr:colOff>
      <xdr:row>414</xdr:row>
      <xdr:rowOff>2000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73A8E0E2-4F7D-4A90-98F8-4E9A24353A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oneCellAnchor>
    <xdr:from>
      <xdr:col>18</xdr:col>
      <xdr:colOff>0</xdr:colOff>
      <xdr:row>394</xdr:row>
      <xdr:rowOff>0</xdr:rowOff>
    </xdr:from>
    <xdr:ext cx="8280000" cy="4320000"/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DB021F7-0738-4F78-80F5-673C474F1E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oneCellAnchor>
  <xdr:twoCellAnchor editAs="oneCell">
    <xdr:from>
      <xdr:col>37</xdr:col>
      <xdr:colOff>228600</xdr:colOff>
      <xdr:row>394</xdr:row>
      <xdr:rowOff>50800</xdr:rowOff>
    </xdr:from>
    <xdr:to>
      <xdr:col>43</xdr:col>
      <xdr:colOff>728527</xdr:colOff>
      <xdr:row>414</xdr:row>
      <xdr:rowOff>116299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AF6DD34E-BC72-4AB6-940C-D7D7569DC3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oneCellAnchor>
    <xdr:from>
      <xdr:col>43</xdr:col>
      <xdr:colOff>673100</xdr:colOff>
      <xdr:row>394</xdr:row>
      <xdr:rowOff>25400</xdr:rowOff>
    </xdr:from>
    <xdr:ext cx="7913914" cy="4320000"/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94E4E4B5-2480-4AD8-BA5A-3A36EC0CAC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oneCellAnchor>
  <xdr:oneCellAnchor>
    <xdr:from>
      <xdr:col>10</xdr:col>
      <xdr:colOff>749299</xdr:colOff>
      <xdr:row>578</xdr:row>
      <xdr:rowOff>0</xdr:rowOff>
    </xdr:from>
    <xdr:ext cx="8280000" cy="4320000"/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41D41FC4-3E9D-47F9-AC96-D1BAAE789D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oneCellAnchor>
  <xdr:oneCellAnchor>
    <xdr:from>
      <xdr:col>18</xdr:col>
      <xdr:colOff>0</xdr:colOff>
      <xdr:row>578</xdr:row>
      <xdr:rowOff>0</xdr:rowOff>
    </xdr:from>
    <xdr:ext cx="8280000" cy="4320000"/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8A58E766-487C-46BA-8024-52551A9D1A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oneCellAnchor>
  <xdr:oneCellAnchor>
    <xdr:from>
      <xdr:col>37</xdr:col>
      <xdr:colOff>0</xdr:colOff>
      <xdr:row>578</xdr:row>
      <xdr:rowOff>0</xdr:rowOff>
    </xdr:from>
    <xdr:ext cx="7903029" cy="4320000"/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26B166F0-FBCC-4DDE-B996-A234485936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oneCellAnchor>
  <xdr:oneCellAnchor>
    <xdr:from>
      <xdr:col>43</xdr:col>
      <xdr:colOff>0</xdr:colOff>
      <xdr:row>578</xdr:row>
      <xdr:rowOff>0</xdr:rowOff>
    </xdr:from>
    <xdr:ext cx="7903029" cy="4320000"/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4517B94-567D-48C9-8860-5DE7642A60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oneCellAnchor>
  <xdr:oneCellAnchor>
    <xdr:from>
      <xdr:col>11</xdr:col>
      <xdr:colOff>0</xdr:colOff>
      <xdr:row>660</xdr:row>
      <xdr:rowOff>0</xdr:rowOff>
    </xdr:from>
    <xdr:ext cx="8280000" cy="4320000"/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A56DFE74-6C44-42ED-A4AD-616143A805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oneCellAnchor>
  <xdr:oneCellAnchor>
    <xdr:from>
      <xdr:col>18</xdr:col>
      <xdr:colOff>0</xdr:colOff>
      <xdr:row>660</xdr:row>
      <xdr:rowOff>0</xdr:rowOff>
    </xdr:from>
    <xdr:ext cx="8280000" cy="4320000"/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40141D67-6C58-4118-8E04-0291DFB27F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oneCellAnchor>
  <xdr:oneCellAnchor>
    <xdr:from>
      <xdr:col>38</xdr:col>
      <xdr:colOff>0</xdr:colOff>
      <xdr:row>660</xdr:row>
      <xdr:rowOff>0</xdr:rowOff>
    </xdr:from>
    <xdr:ext cx="7581900" cy="4508685"/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FFA5ED1B-2773-4DC8-9376-1BD32E3E28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oneCellAnchor>
  <xdr:oneCellAnchor>
    <xdr:from>
      <xdr:col>38</xdr:col>
      <xdr:colOff>0</xdr:colOff>
      <xdr:row>684</xdr:row>
      <xdr:rowOff>0</xdr:rowOff>
    </xdr:from>
    <xdr:ext cx="8566241" cy="4320000"/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99E1959F-E658-483B-B5A8-38F7A2A697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oneCellAnchor>
  <xdr:oneCellAnchor>
    <xdr:from>
      <xdr:col>44</xdr:col>
      <xdr:colOff>0</xdr:colOff>
      <xdr:row>660</xdr:row>
      <xdr:rowOff>0</xdr:rowOff>
    </xdr:from>
    <xdr:ext cx="8490857" cy="4320000"/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A779F96A-D4D9-4955-AB62-188F41AF4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oneCellAnchor>
  <xdr:oneCellAnchor>
    <xdr:from>
      <xdr:col>38</xdr:col>
      <xdr:colOff>0</xdr:colOff>
      <xdr:row>493</xdr:row>
      <xdr:rowOff>0</xdr:rowOff>
    </xdr:from>
    <xdr:ext cx="7680000" cy="4320000"/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8790FE31-2F08-4806-9D88-8D36D70AB3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oneCellAnchor>
  <xdr:oneCellAnchor>
    <xdr:from>
      <xdr:col>44</xdr:col>
      <xdr:colOff>0</xdr:colOff>
      <xdr:row>493</xdr:row>
      <xdr:rowOff>0</xdr:rowOff>
    </xdr:from>
    <xdr:ext cx="7881257" cy="4320000"/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746A9929-8A8D-426F-A97B-3840398FB0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one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0.4159</cdr:x>
      <cdr:y>0.44195</cdr:y>
    </cdr:from>
    <cdr:to>
      <cdr:x>0.58394</cdr:x>
      <cdr:y>0.57928</cdr:y>
    </cdr:to>
    <cdr:sp macro="" textlink="'Losun | Emissions'!$A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BE339CA-120A-593C-0977-1122D257F382}"/>
            </a:ext>
          </a:extLst>
        </cdr:cNvPr>
        <cdr:cNvSpPr txBox="1"/>
      </cdr:nvSpPr>
      <cdr:spPr>
        <a:xfrm xmlns:a="http://schemas.openxmlformats.org/drawingml/2006/main">
          <a:off x="3233057" y="1926771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3C7A6D9-DAFD-47C6-A9B8-E7221AC66B74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1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0.45663</cdr:x>
      <cdr:y>0.44144</cdr:y>
    </cdr:from>
    <cdr:to>
      <cdr:x>0.64523</cdr:x>
      <cdr:y>0.5971</cdr:y>
    </cdr:to>
    <cdr:sp macro="" textlink="'Losun | Emissions'!$A$346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43F01129-07CD-1889-DBA1-DBDEC422CAA7}"/>
            </a:ext>
          </a:extLst>
        </cdr:cNvPr>
        <cdr:cNvSpPr txBox="1"/>
      </cdr:nvSpPr>
      <cdr:spPr>
        <a:xfrm xmlns:a="http://schemas.openxmlformats.org/drawingml/2006/main">
          <a:off x="3566886" y="1944915"/>
          <a:ext cx="1473200" cy="685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15573C7-0678-46E4-8C5B-D1B38BAF647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IÐNAÐUR OG VÖRUNOTKUN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0.40755</cdr:x>
      <cdr:y>0.41452</cdr:y>
    </cdr:from>
    <cdr:to>
      <cdr:x>0.58155</cdr:x>
      <cdr:y>0.59193</cdr:y>
    </cdr:to>
    <cdr:sp macro="" textlink="'Losun | Emissions'!$B$27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818A4ED-5BEB-DCAC-DAF7-9E133A85F9CD}"/>
            </a:ext>
          </a:extLst>
        </cdr:cNvPr>
        <cdr:cNvSpPr txBox="1"/>
      </cdr:nvSpPr>
      <cdr:spPr>
        <a:xfrm xmlns:a="http://schemas.openxmlformats.org/drawingml/2006/main">
          <a:off x="3178629" y="1814284"/>
          <a:ext cx="1357086" cy="776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F7135F7-D379-4B58-A72E-AC10CBF06701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0.39878</cdr:x>
      <cdr:y>0.3683</cdr:y>
    </cdr:from>
    <cdr:to>
      <cdr:x>0.5716</cdr:x>
      <cdr:y>0.54501</cdr:y>
    </cdr:to>
    <cdr:sp macro="" textlink="'Losun | Emissions'!$B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8B60D2-FFF7-D317-D64B-4EB7CEE3241D}"/>
            </a:ext>
          </a:extLst>
        </cdr:cNvPr>
        <cdr:cNvSpPr txBox="1"/>
      </cdr:nvSpPr>
      <cdr:spPr>
        <a:xfrm xmlns:a="http://schemas.openxmlformats.org/drawingml/2006/main">
          <a:off x="3131458" y="1618343"/>
          <a:ext cx="1357086" cy="776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8A96164-6DF2-479E-BBE4-784D9EACEEF9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40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0.51374</cdr:x>
      <cdr:y>0.42516</cdr:y>
    </cdr:from>
    <cdr:to>
      <cdr:x>0.68096</cdr:x>
      <cdr:y>0.56218</cdr:y>
    </cdr:to>
    <cdr:sp macro="" textlink="'Losun | Emissions'!$A$157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A1E2FC0-92D7-2AB7-174E-3ED026688BCE}"/>
            </a:ext>
          </a:extLst>
        </cdr:cNvPr>
        <cdr:cNvSpPr txBox="1"/>
      </cdr:nvSpPr>
      <cdr:spPr>
        <a:xfrm xmlns:a="http://schemas.openxmlformats.org/drawingml/2006/main">
          <a:off x="4013199" y="1857828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94DD619-8A00-4055-B33B-870A02E1AE7B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0.50514</cdr:x>
      <cdr:y>0.40025</cdr:y>
    </cdr:from>
    <cdr:to>
      <cdr:x>0.67183</cdr:x>
      <cdr:y>0.53727</cdr:y>
    </cdr:to>
    <cdr:sp macro="" textlink="'Losun | Emissions'!$B$15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806418-ACF0-CFD6-CA2E-C8D7E7381C1F}"/>
            </a:ext>
          </a:extLst>
        </cdr:cNvPr>
        <cdr:cNvSpPr txBox="1"/>
      </cdr:nvSpPr>
      <cdr:spPr>
        <a:xfrm xmlns:a="http://schemas.openxmlformats.org/drawingml/2006/main">
          <a:off x="3958772" y="1748971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563A1CC-3940-4A92-8ABF-2CBE24925F0E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40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0.61032</cdr:x>
      <cdr:y>0.44265</cdr:y>
    </cdr:from>
    <cdr:to>
      <cdr:x>0.72207</cdr:x>
      <cdr:y>0.6014</cdr:y>
    </cdr:to>
    <cdr:sp macro="" textlink="'Losun | Emissions'!$B$257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43F01129-07CD-1889-DBA1-DBDEC422CAA7}"/>
            </a:ext>
          </a:extLst>
        </cdr:cNvPr>
        <cdr:cNvSpPr txBox="1"/>
      </cdr:nvSpPr>
      <cdr:spPr>
        <a:xfrm xmlns:a="http://schemas.openxmlformats.org/drawingml/2006/main">
          <a:off x="4855029" y="1912257"/>
          <a:ext cx="889000" cy="685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863836A-DBC6-44A7-8624-29CEA4DFBEDE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ENERGY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0.44217</cdr:x>
      <cdr:y>0.45391</cdr:y>
    </cdr:from>
    <cdr:to>
      <cdr:x>0.64992</cdr:x>
      <cdr:y>0.62413</cdr:y>
    </cdr:to>
    <cdr:sp macro="" textlink="'Skuldbindingar | Obligations'!$A$145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F55B34D-5C39-CF58-3FF5-0D5BB9D2DF8B}"/>
            </a:ext>
          </a:extLst>
        </cdr:cNvPr>
        <cdr:cNvSpPr txBox="1"/>
      </cdr:nvSpPr>
      <cdr:spPr>
        <a:xfrm xmlns:a="http://schemas.openxmlformats.org/drawingml/2006/main">
          <a:off x="3369734" y="1964267"/>
          <a:ext cx="1583267" cy="736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4FE4BA4-2D6E-46C2-9312-A39241398532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Samfélagslosun Íslands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0.3927</cdr:x>
      <cdr:y>0.46131</cdr:y>
    </cdr:from>
    <cdr:to>
      <cdr:x>0.59686</cdr:x>
      <cdr:y>0.59843</cdr:y>
    </cdr:to>
    <cdr:sp macro="" textlink="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F30DF23-F7C0-D652-9FE0-3A4884751ACC}"/>
            </a:ext>
          </a:extLst>
        </cdr:cNvPr>
        <cdr:cNvSpPr txBox="1"/>
      </cdr:nvSpPr>
      <cdr:spPr>
        <a:xfrm xmlns:a="http://schemas.openxmlformats.org/drawingml/2006/main">
          <a:off x="3098800" y="1977572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741DB1C-4727-4D78-B0D5-A76564DB9694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LANDBÚNAÐUR 2024</a:t>
          </a:fld>
          <a:endParaRPr lang="is-IS" sz="1800" b="1">
            <a:solidFill>
              <a:sysClr val="windowText" lastClr="000000"/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0.38827</cdr:x>
      <cdr:y>0.47282</cdr:y>
    </cdr:from>
    <cdr:to>
      <cdr:x>0.59302</cdr:x>
      <cdr:y>0.61034</cdr:y>
    </cdr:to>
    <cdr:sp macro="" textlink="'Losun | Emissions'!$A$442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0D9FD218-BFDA-6A69-E526-75ACA31FC900}"/>
            </a:ext>
          </a:extLst>
        </cdr:cNvPr>
        <cdr:cNvSpPr txBox="1"/>
      </cdr:nvSpPr>
      <cdr:spPr>
        <a:xfrm xmlns:a="http://schemas.openxmlformats.org/drawingml/2006/main">
          <a:off x="3055257" y="2021114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1E118F3-5D4B-4C4D-B743-C1608715DB21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LANDBÚNAÐUR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0.8063</cdr:x>
      <cdr:y>0</cdr:y>
    </cdr:from>
    <cdr:to>
      <cdr:x>1</cdr:x>
      <cdr:y>0.14867</cdr:y>
    </cdr:to>
    <cdr:sp macro="" textlink="'Losun | Emissions'!$A$55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C7F91F0-0ACF-E33E-956B-247986BD487B}"/>
            </a:ext>
          </a:extLst>
        </cdr:cNvPr>
        <cdr:cNvSpPr txBox="1"/>
      </cdr:nvSpPr>
      <cdr:spPr>
        <a:xfrm xmlns:a="http://schemas.openxmlformats.org/drawingml/2006/main">
          <a:off x="6343966" y="0"/>
          <a:ext cx="1524000" cy="642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DBC15A5-B70F-4D22-9391-CAB8A086518F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LANDNOTKUN 2024</a:t>
          </a:fld>
          <a:endParaRPr lang="is-IS" sz="18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0.33163</cdr:x>
      <cdr:y>0.44907</cdr:y>
    </cdr:from>
    <cdr:to>
      <cdr:x>0.53728</cdr:x>
      <cdr:y>0.58633</cdr:y>
    </cdr:to>
    <cdr:sp macro="" textlink="'Losun | Emissions'!$B$442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C5279EA4-DDC4-D371-46D1-70A56B7E0807}"/>
            </a:ext>
          </a:extLst>
        </cdr:cNvPr>
        <cdr:cNvSpPr txBox="1"/>
      </cdr:nvSpPr>
      <cdr:spPr>
        <a:xfrm xmlns:a="http://schemas.openxmlformats.org/drawingml/2006/main">
          <a:off x="2598057" y="1923143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FFEF4A3-AB67-4A93-879E-8AAAF138077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AGRICULTURE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0.39066</cdr:x>
      <cdr:y>0.46557</cdr:y>
    </cdr:from>
    <cdr:to>
      <cdr:x>0.59666</cdr:x>
      <cdr:y>0.60245</cdr:y>
    </cdr:to>
    <cdr:sp macro="" textlink="'Losun | Emissions'!$B$442">
      <cdr:nvSpPr>
        <cdr:cNvPr id="3" name="TextBox 16">
          <a:extLst xmlns:a="http://schemas.openxmlformats.org/drawingml/2006/main">
            <a:ext uri="{FF2B5EF4-FFF2-40B4-BE49-F238E27FC236}">
              <a16:creationId xmlns:a16="http://schemas.microsoft.com/office/drawing/2014/main" id="{0F765C48-912B-4C4C-D5BB-1C481EA119AD}"/>
            </a:ext>
          </a:extLst>
        </cdr:cNvPr>
        <cdr:cNvSpPr txBox="1"/>
      </cdr:nvSpPr>
      <cdr:spPr>
        <a:xfrm xmlns:a="http://schemas.openxmlformats.org/drawingml/2006/main">
          <a:off x="3055258" y="1999343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60D31A6-64D7-4258-B4C9-111A864C1BA0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AGRICULTURE 2024</a:t>
          </a:fld>
          <a:endParaRPr lang="is-IS" sz="4800" b="1">
            <a:solidFill>
              <a:sysClr val="windowText" lastClr="000000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0.44983</cdr:x>
      <cdr:y>0.40191</cdr:y>
    </cdr:from>
    <cdr:to>
      <cdr:x>0.65321</cdr:x>
      <cdr:y>0.62016</cdr:y>
    </cdr:to>
    <cdr:sp macro="" textlink="'Losun | Emissions'!$B$346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2DD4A71D-2672-74C2-9624-C15AE4C25B6A}"/>
            </a:ext>
          </a:extLst>
        </cdr:cNvPr>
        <cdr:cNvSpPr txBox="1"/>
      </cdr:nvSpPr>
      <cdr:spPr>
        <a:xfrm xmlns:a="http://schemas.openxmlformats.org/drawingml/2006/main">
          <a:off x="3523342" y="1770742"/>
          <a:ext cx="1592943" cy="9615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8256F33-14B6-49E7-9534-2950324393A4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INDUSTRY AND PRODUCT USE 2024</a:t>
          </a:fld>
          <a:endParaRPr lang="is-IS" sz="4800" b="1">
            <a:solidFill>
              <a:sysClr val="windowText" lastClr="000000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0.8063</cdr:x>
      <cdr:y>0</cdr:y>
    </cdr:from>
    <cdr:to>
      <cdr:x>1</cdr:x>
      <cdr:y>0.14867</cdr:y>
    </cdr:to>
    <cdr:sp macro="" textlink="'Losun | Emissions'!$B$55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96A01D-0D2D-9B31-5946-D03248B0DFF7}"/>
            </a:ext>
          </a:extLst>
        </cdr:cNvPr>
        <cdr:cNvSpPr txBox="1"/>
      </cdr:nvSpPr>
      <cdr:spPr>
        <a:xfrm xmlns:a="http://schemas.openxmlformats.org/drawingml/2006/main">
          <a:off x="6343966" y="0"/>
          <a:ext cx="1524000" cy="642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B9EE219-25BD-4535-A659-FC29F2CA32E6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LULUCF 2024</a:t>
          </a:fld>
          <a:endParaRPr lang="is-IS" sz="32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0.4063</cdr:x>
      <cdr:y>0.45969</cdr:y>
    </cdr:from>
    <cdr:to>
      <cdr:x>0.54984</cdr:x>
      <cdr:y>0.62469</cdr:y>
    </cdr:to>
    <cdr:sp macro="" textlink="'Losun | Emissions'!$B$636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E6DA2C7-7BEA-1ACD-B55B-CC9452F830D0}"/>
            </a:ext>
          </a:extLst>
        </cdr:cNvPr>
        <cdr:cNvSpPr txBox="1"/>
      </cdr:nvSpPr>
      <cdr:spPr>
        <a:xfrm xmlns:a="http://schemas.openxmlformats.org/drawingml/2006/main">
          <a:off x="3153228" y="2031999"/>
          <a:ext cx="1113972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F774B9A-D9F5-4230-B3D9-BD7D924D5359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WASTE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0.39866</cdr:x>
      <cdr:y>0.448</cdr:y>
    </cdr:from>
    <cdr:to>
      <cdr:x>0.60868</cdr:x>
      <cdr:y>0.61887</cdr:y>
    </cdr:to>
    <cdr:sp macro="" textlink="'Losun | Emissions'!$B$718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0781B14F-F301-0120-50F9-69858FEB6727}"/>
            </a:ext>
          </a:extLst>
        </cdr:cNvPr>
        <cdr:cNvSpPr txBox="1"/>
      </cdr:nvSpPr>
      <cdr:spPr>
        <a:xfrm xmlns:a="http://schemas.openxmlformats.org/drawingml/2006/main">
          <a:off x="3113315" y="1912257"/>
          <a:ext cx="1640142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F5C2BEA-DDD0-4740-BEC0-3E43091BD07E}" type="TxLink">
            <a:rPr lang="en-US" sz="12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INTERNATIONAL TRANSPORTATION 2024</a:t>
          </a:fld>
          <a:endParaRPr lang="is-IS" sz="4400" b="1">
            <a:solidFill>
              <a:sysClr val="windowText" lastClr="000000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0.40238</cdr:x>
      <cdr:y>0.4327</cdr:y>
    </cdr:from>
    <cdr:to>
      <cdr:x>0.60729</cdr:x>
      <cdr:y>0.60357</cdr:y>
    </cdr:to>
    <cdr:sp macro="" textlink="'Losun | Emissions'!$A$718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E6DA2C7-7BEA-1ACD-B55B-CC9452F830D0}"/>
            </a:ext>
          </a:extLst>
        </cdr:cNvPr>
        <cdr:cNvSpPr txBox="1"/>
      </cdr:nvSpPr>
      <cdr:spPr>
        <a:xfrm xmlns:a="http://schemas.openxmlformats.org/drawingml/2006/main">
          <a:off x="3142343" y="1846942"/>
          <a:ext cx="1600200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454B74F-4C33-4E1F-99C7-2F0744469FD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ALÞJÓÐA-SAMGÖNGUR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0.75653</cdr:x>
      <cdr:y>0.81249</cdr:y>
    </cdr:from>
    <cdr:to>
      <cdr:x>1</cdr:x>
      <cdr:y>1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E356E1B2-8F27-89F9-6983-CCCE28C4096F}"/>
            </a:ext>
          </a:extLst>
        </cdr:cNvPr>
        <cdr:cNvSpPr txBox="1"/>
      </cdr:nvSpPr>
      <cdr:spPr>
        <a:xfrm xmlns:a="http://schemas.openxmlformats.org/drawingml/2006/main">
          <a:off x="6265545" y="3448050"/>
          <a:ext cx="2016360" cy="795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s-IS" sz="800" i="1">
              <a:solidFill>
                <a:schemeClr val="bg1">
                  <a:lumMod val="50000"/>
                </a:schemeClr>
              </a:solidFill>
            </a:rPr>
            <a:t>* Árlegar losunarheimildir Íslands í samfélagslosun (miðað er við um áætlað nýtt markmið um 41% samdrátt árið 2030 miðað við 2005).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0.39638</cdr:x>
      <cdr:y>0.39097</cdr:y>
    </cdr:from>
    <cdr:to>
      <cdr:x>0.56347</cdr:x>
      <cdr:y>0.52736</cdr:y>
    </cdr:to>
    <cdr:sp macro="" textlink="'Losun | Emissions'!$A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331524-F5CA-131A-F630-EB78C586953A}"/>
            </a:ext>
          </a:extLst>
        </cdr:cNvPr>
        <cdr:cNvSpPr txBox="1"/>
      </cdr:nvSpPr>
      <cdr:spPr>
        <a:xfrm xmlns:a="http://schemas.openxmlformats.org/drawingml/2006/main">
          <a:off x="3098800" y="1716314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12F3956-7942-4A44-A0D6-4E68C19F5DB0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0.85222</cdr:x>
      <cdr:y>0.08075</cdr:y>
    </cdr:from>
    <cdr:to>
      <cdr:x>1</cdr:x>
      <cdr:y>0.32029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24610A56-DA67-D4BA-924F-7A7B0C05C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7668" y="364070"/>
          <a:ext cx="1203032" cy="108001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0.31669</cdr:x>
      <cdr:y>0.41067</cdr:y>
    </cdr:from>
    <cdr:to>
      <cdr:x>0.48518</cdr:x>
      <cdr:y>0.69867</cdr:y>
    </cdr:to>
    <cdr:pic>
      <cdr:nvPicPr>
        <cdr:cNvPr id="3" name="Graphic 10">
          <a:extLst xmlns:a="http://schemas.openxmlformats.org/drawingml/2006/main">
            <a:ext uri="{FF2B5EF4-FFF2-40B4-BE49-F238E27FC236}">
              <a16:creationId xmlns:a16="http://schemas.microsoft.com/office/drawing/2014/main" id="{24F3D2C8-0C2D-8A2D-D71D-BA18BD618B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8100" y="1851598"/>
          <a:ext cx="1371600" cy="1298502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0.29256</cdr:x>
      <cdr:y>0.6427</cdr:y>
    </cdr:from>
    <cdr:to>
      <cdr:x>0.44396</cdr:x>
      <cdr:y>0.88908</cdr:y>
    </cdr:to>
    <cdr:pic>
      <cdr:nvPicPr>
        <cdr:cNvPr id="4" name="Graphic 4">
          <a:extLst xmlns:a="http://schemas.openxmlformats.org/drawingml/2006/main">
            <a:ext uri="{FF2B5EF4-FFF2-40B4-BE49-F238E27FC236}">
              <a16:creationId xmlns:a16="http://schemas.microsoft.com/office/drawing/2014/main" id="{B44D18A3-97BE-5876-E98B-4B13B3976FF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6882" y="2817290"/>
          <a:ext cx="1162752" cy="108000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0.8322</cdr:x>
      <cdr:y>0.1579</cdr:y>
    </cdr:from>
    <cdr:to>
      <cdr:x>0.9836</cdr:x>
      <cdr:y>0.40427</cdr:y>
    </cdr:to>
    <cdr:pic>
      <cdr:nvPicPr>
        <cdr:cNvPr id="5" name="Graphic 7">
          <a:extLst xmlns:a="http://schemas.openxmlformats.org/drawingml/2006/main">
            <a:ext uri="{FF2B5EF4-FFF2-40B4-BE49-F238E27FC236}">
              <a16:creationId xmlns:a16="http://schemas.microsoft.com/office/drawing/2014/main" id="{BF367594-5A73-AAC8-BFC0-9C7CF6C2E3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91317" y="692168"/>
          <a:ext cx="1162752" cy="1079963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0.29256</cdr:x>
      <cdr:y>0.6427</cdr:y>
    </cdr:from>
    <cdr:to>
      <cdr:x>0.44396</cdr:x>
      <cdr:y>0.88908</cdr:y>
    </cdr:to>
    <cdr:pic>
      <cdr:nvPicPr>
        <cdr:cNvPr id="4" name="Graphic 4">
          <a:extLst xmlns:a="http://schemas.openxmlformats.org/drawingml/2006/main">
            <a:ext uri="{FF2B5EF4-FFF2-40B4-BE49-F238E27FC236}">
              <a16:creationId xmlns:a16="http://schemas.microsoft.com/office/drawing/2014/main" id="{B44D18A3-97BE-5876-E98B-4B13B3976FF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6882" y="2817290"/>
          <a:ext cx="1162752" cy="108000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0.8322</cdr:x>
      <cdr:y>0.1579</cdr:y>
    </cdr:from>
    <cdr:to>
      <cdr:x>0.9836</cdr:x>
      <cdr:y>0.40427</cdr:y>
    </cdr:to>
    <cdr:pic>
      <cdr:nvPicPr>
        <cdr:cNvPr id="5" name="Graphic 7">
          <a:extLst xmlns:a="http://schemas.openxmlformats.org/drawingml/2006/main">
            <a:ext uri="{FF2B5EF4-FFF2-40B4-BE49-F238E27FC236}">
              <a16:creationId xmlns:a16="http://schemas.microsoft.com/office/drawing/2014/main" id="{BF367594-5A73-AAC8-BFC0-9C7CF6C2E3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91317" y="692168"/>
          <a:ext cx="1162752" cy="1079963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0.4885</cdr:x>
      <cdr:y>0.47998</cdr:y>
    </cdr:from>
    <cdr:to>
      <cdr:x>0.66309</cdr:x>
      <cdr:y>0.76298</cdr:y>
    </cdr:to>
    <cdr:pic>
      <cdr:nvPicPr>
        <cdr:cNvPr id="2" name="Graphic 6">
          <a:extLst xmlns:a="http://schemas.openxmlformats.org/drawingml/2006/main">
            <a:ext uri="{FF2B5EF4-FFF2-40B4-BE49-F238E27FC236}">
              <a16:creationId xmlns:a16="http://schemas.microsoft.com/office/drawing/2014/main" id="{427528D8-E0F3-073A-0B05-0B569285DB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81452" y="2103987"/>
          <a:ext cx="1494456" cy="124053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0.4885</cdr:x>
      <cdr:y>0.47998</cdr:y>
    </cdr:from>
    <cdr:to>
      <cdr:x>0.66309</cdr:x>
      <cdr:y>0.76298</cdr:y>
    </cdr:to>
    <cdr:pic>
      <cdr:nvPicPr>
        <cdr:cNvPr id="2" name="Graphic 6">
          <a:extLst xmlns:a="http://schemas.openxmlformats.org/drawingml/2006/main">
            <a:ext uri="{FF2B5EF4-FFF2-40B4-BE49-F238E27FC236}">
              <a16:creationId xmlns:a16="http://schemas.microsoft.com/office/drawing/2014/main" id="{427528D8-E0F3-073A-0B05-0B569285DB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81452" y="2103987"/>
          <a:ext cx="1494456" cy="1240530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0.49656</cdr:x>
      <cdr:y>0.43803</cdr:y>
    </cdr:from>
    <cdr:to>
      <cdr:x>0.65318</cdr:x>
      <cdr:y>0.68803</cdr:y>
    </cdr:to>
    <cdr:pic>
      <cdr:nvPicPr>
        <cdr:cNvPr id="2" name="Graphic 16">
          <a:extLst xmlns:a="http://schemas.openxmlformats.org/drawingml/2006/main">
            <a:ext uri="{FF2B5EF4-FFF2-40B4-BE49-F238E27FC236}">
              <a16:creationId xmlns:a16="http://schemas.microsoft.com/office/drawing/2014/main" id="{BA074003-E2DE-CD5C-3E91-CBAD6DF8B6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24300" y="1892300"/>
          <a:ext cx="123782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0.74564</cdr:x>
      <cdr:y>0.75</cdr:y>
    </cdr:from>
    <cdr:to>
      <cdr:x>0.90227</cdr:x>
      <cdr:y>1</cdr:y>
    </cdr:to>
    <cdr:pic>
      <cdr:nvPicPr>
        <cdr:cNvPr id="3" name="Graphic 14">
          <a:extLst xmlns:a="http://schemas.openxmlformats.org/drawingml/2006/main">
            <a:ext uri="{FF2B5EF4-FFF2-40B4-BE49-F238E27FC236}">
              <a16:creationId xmlns:a16="http://schemas.microsoft.com/office/drawing/2014/main" id="{5B714D3B-7C73-A352-4B0B-7A20293A40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92800" y="3240000"/>
          <a:ext cx="123782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0.49656</cdr:x>
      <cdr:y>0.43803</cdr:y>
    </cdr:from>
    <cdr:to>
      <cdr:x>0.65318</cdr:x>
      <cdr:y>0.68803</cdr:y>
    </cdr:to>
    <cdr:pic>
      <cdr:nvPicPr>
        <cdr:cNvPr id="2" name="Graphic 16">
          <a:extLst xmlns:a="http://schemas.openxmlformats.org/drawingml/2006/main">
            <a:ext uri="{FF2B5EF4-FFF2-40B4-BE49-F238E27FC236}">
              <a16:creationId xmlns:a16="http://schemas.microsoft.com/office/drawing/2014/main" id="{BA074003-E2DE-CD5C-3E91-CBAD6DF8B6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24300" y="1892300"/>
          <a:ext cx="123782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0.74564</cdr:x>
      <cdr:y>0.75</cdr:y>
    </cdr:from>
    <cdr:to>
      <cdr:x>0.90227</cdr:x>
      <cdr:y>1</cdr:y>
    </cdr:to>
    <cdr:pic>
      <cdr:nvPicPr>
        <cdr:cNvPr id="3" name="Graphic 14">
          <a:extLst xmlns:a="http://schemas.openxmlformats.org/drawingml/2006/main">
            <a:ext uri="{FF2B5EF4-FFF2-40B4-BE49-F238E27FC236}">
              <a16:creationId xmlns:a16="http://schemas.microsoft.com/office/drawing/2014/main" id="{5B714D3B-7C73-A352-4B0B-7A20293A40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92800" y="3240000"/>
          <a:ext cx="123782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0.8124</cdr:x>
      <cdr:y>0.15774</cdr:y>
    </cdr:from>
    <cdr:to>
      <cdr:x>0.96286</cdr:x>
      <cdr:y>0.39728</cdr:y>
    </cdr:to>
    <cdr:pic>
      <cdr:nvPicPr>
        <cdr:cNvPr id="4" name="Graphic 18">
          <a:extLst xmlns:a="http://schemas.openxmlformats.org/drawingml/2006/main">
            <a:ext uri="{FF2B5EF4-FFF2-40B4-BE49-F238E27FC236}">
              <a16:creationId xmlns:a16="http://schemas.microsoft.com/office/drawing/2014/main" id="{A9A940E5-F9EA-D947-E8F0-94E6FE8F78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59500" y="711200"/>
          <a:ext cx="114079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0.28978</cdr:x>
      <cdr:y>0.61688</cdr:y>
    </cdr:from>
    <cdr:to>
      <cdr:x>0.44025</cdr:x>
      <cdr:y>0.85641</cdr:y>
    </cdr:to>
    <cdr:pic>
      <cdr:nvPicPr>
        <cdr:cNvPr id="5" name="Graphic 20">
          <a:extLst xmlns:a="http://schemas.openxmlformats.org/drawingml/2006/main">
            <a:ext uri="{FF2B5EF4-FFF2-40B4-BE49-F238E27FC236}">
              <a16:creationId xmlns:a16="http://schemas.microsoft.com/office/drawing/2014/main" id="{05A7D491-5034-B0BF-5FF7-8B5E22CCB6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97100" y="2781300"/>
          <a:ext cx="114079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0.8124</cdr:x>
      <cdr:y>0.15774</cdr:y>
    </cdr:from>
    <cdr:to>
      <cdr:x>0.96286</cdr:x>
      <cdr:y>0.39728</cdr:y>
    </cdr:to>
    <cdr:pic>
      <cdr:nvPicPr>
        <cdr:cNvPr id="4" name="Graphic 18">
          <a:extLst xmlns:a="http://schemas.openxmlformats.org/drawingml/2006/main">
            <a:ext uri="{FF2B5EF4-FFF2-40B4-BE49-F238E27FC236}">
              <a16:creationId xmlns:a16="http://schemas.microsoft.com/office/drawing/2014/main" id="{A9A940E5-F9EA-D947-E8F0-94E6FE8F78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59500" y="711200"/>
          <a:ext cx="114079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0.28978</cdr:x>
      <cdr:y>0.61688</cdr:y>
    </cdr:from>
    <cdr:to>
      <cdr:x>0.44025</cdr:x>
      <cdr:y>0.85641</cdr:y>
    </cdr:to>
    <cdr:pic>
      <cdr:nvPicPr>
        <cdr:cNvPr id="5" name="Graphic 20">
          <a:extLst xmlns:a="http://schemas.openxmlformats.org/drawingml/2006/main">
            <a:ext uri="{FF2B5EF4-FFF2-40B4-BE49-F238E27FC236}">
              <a16:creationId xmlns:a16="http://schemas.microsoft.com/office/drawing/2014/main" id="{05A7D491-5034-B0BF-5FF7-8B5E22CCB6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97100" y="2781300"/>
          <a:ext cx="114079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0.75575</cdr:x>
      <cdr:y>0.81249</cdr:y>
    </cdr:from>
    <cdr:to>
      <cdr:x>1</cdr:x>
      <cdr:y>1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BA73463E-25D9-F8E1-B56D-173257F5D2B2}"/>
            </a:ext>
          </a:extLst>
        </cdr:cNvPr>
        <cdr:cNvSpPr txBox="1"/>
      </cdr:nvSpPr>
      <cdr:spPr>
        <a:xfrm xmlns:a="http://schemas.openxmlformats.org/drawingml/2006/main">
          <a:off x="6238875" y="3448050"/>
          <a:ext cx="2016360" cy="795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s-IS" sz="800" i="1">
              <a:solidFill>
                <a:schemeClr val="bg1">
                  <a:lumMod val="50000"/>
                </a:schemeClr>
              </a:solidFill>
            </a:rPr>
            <a:t>* Iceland's annual emission allocations for emissions falling under the scope of the ESR (assuming 41% emission reductions by 2030 compared to 2005).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0.85222</cdr:x>
      <cdr:y>0.08075</cdr:y>
    </cdr:from>
    <cdr:to>
      <cdr:x>1</cdr:x>
      <cdr:y>0.32029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24610A56-DA67-D4BA-924F-7A7B0C05C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7668" y="364070"/>
          <a:ext cx="1203032" cy="108001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0.31669</cdr:x>
      <cdr:y>0.41067</cdr:y>
    </cdr:from>
    <cdr:to>
      <cdr:x>0.48518</cdr:x>
      <cdr:y>0.69867</cdr:y>
    </cdr:to>
    <cdr:pic>
      <cdr:nvPicPr>
        <cdr:cNvPr id="3" name="Graphic 10">
          <a:extLst xmlns:a="http://schemas.openxmlformats.org/drawingml/2006/main">
            <a:ext uri="{FF2B5EF4-FFF2-40B4-BE49-F238E27FC236}">
              <a16:creationId xmlns:a16="http://schemas.microsoft.com/office/drawing/2014/main" id="{24F3D2C8-0C2D-8A2D-D71D-BA18BD618B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8100" y="1851598"/>
          <a:ext cx="1371600" cy="1298502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0.39576</cdr:x>
      <cdr:y>0.41943</cdr:y>
    </cdr:from>
    <cdr:to>
      <cdr:x>0.59197</cdr:x>
      <cdr:y>0.60023</cdr:y>
    </cdr:to>
    <cdr:sp macro="" textlink="'Skuldbindingar | Obligations'!#REF!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128CD99-5DD6-6033-F944-5364DBD5E3B6}"/>
            </a:ext>
          </a:extLst>
        </cdr:cNvPr>
        <cdr:cNvSpPr txBox="1"/>
      </cdr:nvSpPr>
      <cdr:spPr>
        <a:xfrm xmlns:a="http://schemas.openxmlformats.org/drawingml/2006/main">
          <a:off x="3191933" y="1710266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8BCC14C-59F9-4447-8208-438C95756BE1}" type="TxLink">
            <a:rPr lang="en-US" sz="14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Emissions from ETS Stationary Industry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0.34338</cdr:x>
      <cdr:y>0.4212</cdr:y>
    </cdr:from>
    <cdr:to>
      <cdr:x>0.57455</cdr:x>
      <cdr:y>0.60116</cdr:y>
    </cdr:to>
    <cdr:sp macro="" textlink="'Skuldbindingar | Obligations'!#REF!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4EA300E-9FFD-D8E4-194F-78C54BA67174}"/>
            </a:ext>
          </a:extLst>
        </cdr:cNvPr>
        <cdr:cNvSpPr txBox="1"/>
      </cdr:nvSpPr>
      <cdr:spPr>
        <a:xfrm xmlns:a="http://schemas.openxmlformats.org/drawingml/2006/main">
          <a:off x="2834993" y="1856264"/>
          <a:ext cx="1908551" cy="793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88DE335-AF00-4C62-B158-4E96A11BE5D9}" type="TxLink">
            <a:rPr lang="en-US" sz="14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Losun frá ETS staðbundnum iðnaði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0.50251</cdr:x>
      <cdr:y>0.45992</cdr:y>
    </cdr:from>
    <cdr:to>
      <cdr:x>0.70984</cdr:x>
      <cdr:y>0.63034</cdr:y>
    </cdr:to>
    <cdr:sp macro="" textlink="'Skuldbindingar | Obligations'!$A$145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ED6050B-0199-F2B8-600C-D83D81F26685}"/>
            </a:ext>
          </a:extLst>
        </cdr:cNvPr>
        <cdr:cNvSpPr txBox="1"/>
      </cdr:nvSpPr>
      <cdr:spPr>
        <a:xfrm xmlns:a="http://schemas.openxmlformats.org/drawingml/2006/main">
          <a:off x="3835400" y="1989667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7685035-6B33-4B0F-8436-283E64980836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Samfélagslosun Íslands 2024</a:t>
          </a:fld>
          <a:endParaRPr lang="is-IS" sz="4000">
            <a:solidFill>
              <a:sysClr val="windowText" lastClr="000000"/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0.47532</cdr:x>
      <cdr:y>0.44213</cdr:y>
    </cdr:from>
    <cdr:to>
      <cdr:x>0.6637</cdr:x>
      <cdr:y>0.60933</cdr:y>
    </cdr:to>
    <cdr:sp macro="" textlink="'Skuldbindingar | Obligations'!$B$14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CA2448-BEE0-A754-BE30-4DFE5ACD4A81}"/>
            </a:ext>
          </a:extLst>
        </cdr:cNvPr>
        <cdr:cNvSpPr txBox="1"/>
      </cdr:nvSpPr>
      <cdr:spPr>
        <a:xfrm xmlns:a="http://schemas.openxmlformats.org/drawingml/2006/main">
          <a:off x="3923864" y="1876302"/>
          <a:ext cx="1555121" cy="7095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BB649E1-CF32-4938-8F7F-F3EDD5F8A94A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ESR Emissions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0.49706</cdr:x>
      <cdr:y>0.45927</cdr:y>
    </cdr:from>
    <cdr:to>
      <cdr:x>0.70454</cdr:x>
      <cdr:y>0.62748</cdr:y>
    </cdr:to>
    <cdr:sp macro="" textlink="'Skuldbindingar | Obligations'!$B$14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E9D55A-11F0-0D83-7FBE-405C12E9EED2}"/>
            </a:ext>
          </a:extLst>
        </cdr:cNvPr>
        <cdr:cNvSpPr txBox="1"/>
      </cdr:nvSpPr>
      <cdr:spPr>
        <a:xfrm xmlns:a="http://schemas.openxmlformats.org/drawingml/2006/main">
          <a:off x="4104176" y="1949045"/>
          <a:ext cx="1713135" cy="713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B0E1079-FDE2-413E-8B3C-D4C66A72461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ESR Emissions 2024</a:t>
          </a:fld>
          <a:endParaRPr lang="is-IS" sz="400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UOS">
      <a:dk1>
        <a:srgbClr val="00302F"/>
      </a:dk1>
      <a:lt1>
        <a:srgbClr val="FFFFFF"/>
      </a:lt1>
      <a:dk2>
        <a:srgbClr val="00BDA2"/>
      </a:dk2>
      <a:lt2>
        <a:srgbClr val="00827F"/>
      </a:lt2>
      <a:accent1>
        <a:srgbClr val="338DE9"/>
      </a:accent1>
      <a:accent2>
        <a:srgbClr val="0E547B"/>
      </a:accent2>
      <a:accent3>
        <a:srgbClr val="FF573C"/>
      </a:accent3>
      <a:accent4>
        <a:srgbClr val="56C58A"/>
      </a:accent4>
      <a:accent5>
        <a:srgbClr val="5B4346"/>
      </a:accent5>
      <a:accent6>
        <a:srgbClr val="FFAA70"/>
      </a:accent6>
      <a:hlink>
        <a:srgbClr val="0E547B"/>
      </a:hlink>
      <a:folHlink>
        <a:srgbClr val="338DE9"/>
      </a:folHlink>
    </a:clrScheme>
    <a:fontScheme name="UOS - MS">
      <a:majorFont>
        <a:latin typeface="Segoe UI Semibold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13112-03E7-49FE-982C-14181604CF21}">
  <sheetPr>
    <tabColor theme="0"/>
  </sheetPr>
  <dimension ref="B2:C11"/>
  <sheetViews>
    <sheetView tabSelected="1" workbookViewId="0">
      <selection activeCell="A2" sqref="A2"/>
    </sheetView>
  </sheetViews>
  <sheetFormatPr defaultColWidth="8.69921875" defaultRowHeight="16.8" x14ac:dyDescent="0.4"/>
  <cols>
    <col min="1" max="1" width="2.3984375" style="1" customWidth="1"/>
    <col min="2" max="2" width="18.3984375" style="1" customWidth="1"/>
    <col min="3" max="3" width="121.296875" style="1" customWidth="1"/>
    <col min="4" max="12" width="6" style="1" customWidth="1"/>
    <col min="13" max="16384" width="8.69921875" style="1"/>
  </cols>
  <sheetData>
    <row r="2" spans="2:3" ht="34.799999999999997" x14ac:dyDescent="0.75">
      <c r="C2" s="1140" t="s">
        <v>0</v>
      </c>
    </row>
    <row r="3" spans="2:3" s="408" customFormat="1" x14ac:dyDescent="0.4">
      <c r="B3" s="407"/>
    </row>
    <row r="4" spans="2:3" ht="37.950000000000003" customHeight="1" x14ac:dyDescent="0.4">
      <c r="B4" s="409" t="s">
        <v>392</v>
      </c>
      <c r="C4" s="1136" t="s">
        <v>388</v>
      </c>
    </row>
    <row r="5" spans="2:3" ht="37.950000000000003" customHeight="1" x14ac:dyDescent="0.4">
      <c r="B5" s="409" t="s">
        <v>393</v>
      </c>
      <c r="C5" s="1137" t="s">
        <v>477</v>
      </c>
    </row>
    <row r="6" spans="2:3" ht="37.950000000000003" customHeight="1" x14ac:dyDescent="0.4">
      <c r="B6" s="409" t="s">
        <v>394</v>
      </c>
      <c r="C6" s="1136" t="s">
        <v>389</v>
      </c>
    </row>
    <row r="7" spans="2:3" ht="46.95" customHeight="1" x14ac:dyDescent="0.4">
      <c r="B7" s="410" t="s">
        <v>395</v>
      </c>
      <c r="C7" s="1138" t="s">
        <v>476</v>
      </c>
    </row>
    <row r="8" spans="2:3" ht="82.2" customHeight="1" x14ac:dyDescent="0.4">
      <c r="B8" s="2"/>
      <c r="C8" s="1138" t="s">
        <v>390</v>
      </c>
    </row>
    <row r="9" spans="2:3" x14ac:dyDescent="0.4">
      <c r="B9" s="408"/>
      <c r="C9" s="408"/>
    </row>
    <row r="10" spans="2:3" x14ac:dyDescent="0.4">
      <c r="B10" s="407"/>
      <c r="C10" s="408"/>
    </row>
    <row r="11" spans="2:3" ht="98.25" customHeight="1" x14ac:dyDescent="0.4">
      <c r="C11" s="1139" t="s">
        <v>391</v>
      </c>
    </row>
  </sheetData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DE01-BCF9-482C-A2BA-3C780A1B3249}">
  <sheetPr>
    <tabColor theme="4"/>
  </sheetPr>
  <dimension ref="A1:AS424"/>
  <sheetViews>
    <sheetView topLeftCell="D1" zoomScale="60" zoomScaleNormal="60" workbookViewId="0">
      <selection activeCell="N390" sqref="N390"/>
    </sheetView>
  </sheetViews>
  <sheetFormatPr defaultColWidth="8.69921875" defaultRowHeight="16.8" x14ac:dyDescent="0.4"/>
  <cols>
    <col min="1" max="1" width="6.59765625" style="1035" hidden="1" customWidth="1"/>
    <col min="2" max="2" width="6.59765625" style="1110" hidden="1" customWidth="1"/>
    <col min="3" max="3" width="7" style="1098" hidden="1" customWidth="1"/>
    <col min="4" max="4" width="3.19921875" style="39" customWidth="1"/>
    <col min="5" max="5" width="34.3984375" style="40" customWidth="1"/>
    <col min="6" max="6" width="18.69921875" style="40" customWidth="1"/>
    <col min="7" max="7" width="12.69921875" style="40" customWidth="1"/>
    <col min="8" max="8" width="18.69921875" style="40" customWidth="1"/>
    <col min="9" max="9" width="12.69921875" style="40" customWidth="1"/>
    <col min="10" max="10" width="18.69921875" style="40" customWidth="1"/>
    <col min="11" max="11" width="12.69921875" style="40" customWidth="1"/>
    <col min="12" max="12" width="4.8984375" style="40" customWidth="1"/>
    <col min="13" max="13" width="34.3984375" style="40" customWidth="1"/>
    <col min="14" max="14" width="21.3984375" style="40" customWidth="1"/>
    <col min="15" max="15" width="13.69921875" style="40" customWidth="1"/>
    <col min="16" max="31" width="8.69921875" style="40"/>
    <col min="32" max="32" width="8.59765625" style="216" customWidth="1"/>
    <col min="33" max="33" width="8.69921875" style="40"/>
    <col min="34" max="34" width="39.09765625" style="40" customWidth="1"/>
    <col min="35" max="35" width="19.3984375" style="397" customWidth="1"/>
    <col min="36" max="36" width="12.5" style="40" customWidth="1"/>
    <col min="37" max="37" width="19.3984375" style="397" customWidth="1"/>
    <col min="38" max="38" width="12.5" style="40" customWidth="1"/>
    <col min="39" max="39" width="19.3984375" style="397" customWidth="1"/>
    <col min="40" max="40" width="12.5" style="40" customWidth="1"/>
    <col min="41" max="41" width="4.8984375" style="40" customWidth="1"/>
    <col min="42" max="42" width="39.8984375" style="40" customWidth="1"/>
    <col min="43" max="43" width="19.3984375" style="397" customWidth="1"/>
    <col min="44" max="44" width="14" style="40" customWidth="1"/>
    <col min="45" max="16384" width="8.69921875" style="40"/>
  </cols>
  <sheetData>
    <row r="1" spans="1:45" s="413" customFormat="1" ht="45.75" customHeight="1" x14ac:dyDescent="0.85">
      <c r="A1" s="422">
        <v>2024</v>
      </c>
      <c r="B1" s="598"/>
      <c r="C1" s="1096"/>
      <c r="D1" s="412"/>
      <c r="E1" s="1076" t="s">
        <v>400</v>
      </c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4"/>
      <c r="AG1" s="412"/>
      <c r="AH1" s="1077" t="s">
        <v>159</v>
      </c>
      <c r="AI1" s="415"/>
      <c r="AJ1" s="412"/>
      <c r="AK1" s="415"/>
      <c r="AL1" s="412"/>
      <c r="AM1" s="415"/>
      <c r="AN1" s="412"/>
      <c r="AO1" s="412"/>
      <c r="AP1" s="412"/>
      <c r="AQ1" s="416"/>
    </row>
    <row r="2" spans="1:45" s="421" customFormat="1" ht="37.5" customHeight="1" x14ac:dyDescent="0.4">
      <c r="A2" s="422">
        <v>1990</v>
      </c>
      <c r="B2" s="422">
        <v>2030</v>
      </c>
      <c r="C2" s="109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8"/>
      <c r="AG2" s="417"/>
      <c r="AH2" s="417"/>
      <c r="AI2" s="419"/>
      <c r="AJ2" s="417"/>
      <c r="AK2" s="419"/>
      <c r="AL2" s="417"/>
      <c r="AM2" s="419"/>
      <c r="AN2" s="417"/>
      <c r="AO2" s="417"/>
      <c r="AP2" s="417"/>
      <c r="AQ2" s="420"/>
    </row>
    <row r="3" spans="1:45" x14ac:dyDescent="0.4">
      <c r="A3" s="422">
        <v>2005</v>
      </c>
      <c r="B3" s="422">
        <v>2055</v>
      </c>
    </row>
    <row r="4" spans="1:45" ht="40.200000000000003" customHeight="1" x14ac:dyDescent="0.4">
      <c r="A4" s="422">
        <f>$A$1-1</f>
        <v>2023</v>
      </c>
      <c r="B4" s="422"/>
      <c r="E4" s="1170" t="str">
        <f>"STAÐAN ÁRIÐ "&amp;$A$1</f>
        <v>STAÐAN ÁRIÐ 2024</v>
      </c>
      <c r="F4" s="1169"/>
      <c r="G4" s="1169"/>
      <c r="H4" s="1169"/>
      <c r="I4" s="1169"/>
      <c r="J4" s="1169"/>
      <c r="K4" s="1172"/>
      <c r="M4" s="1170" t="s">
        <v>403</v>
      </c>
      <c r="N4" s="1195" t="s">
        <v>412</v>
      </c>
      <c r="O4" s="1169"/>
      <c r="AH4" s="1170" t="str">
        <f>$A$1&amp;" EMISSIONS"</f>
        <v>2024 EMISSIONS</v>
      </c>
      <c r="AI4" s="1169"/>
      <c r="AJ4" s="1169"/>
      <c r="AK4" s="1169"/>
      <c r="AL4" s="1169"/>
      <c r="AM4" s="1169"/>
      <c r="AN4" s="1172"/>
      <c r="AP4" s="1170" t="s">
        <v>402</v>
      </c>
      <c r="AQ4" s="1169" t="s">
        <v>410</v>
      </c>
      <c r="AR4" s="1169"/>
    </row>
    <row r="5" spans="1:45" ht="30" customHeight="1" x14ac:dyDescent="0.4">
      <c r="A5" s="1110"/>
      <c r="E5" s="1170"/>
      <c r="F5" s="1198" t="str">
        <f>"Losun "&amp;$A$1</f>
        <v>Losun 2024</v>
      </c>
      <c r="G5" s="1199"/>
      <c r="H5" s="1179" t="str">
        <f>"Breyting frá "&amp;$A$4</f>
        <v>Breyting frá 2023</v>
      </c>
      <c r="I5" s="1199"/>
      <c r="J5" s="1179" t="str">
        <f>"Breyting frá "&amp;$A$3</f>
        <v>Breyting frá 2005</v>
      </c>
      <c r="K5" s="1180"/>
      <c r="M5" s="1170"/>
      <c r="N5" s="1197" t="s">
        <v>264</v>
      </c>
      <c r="O5" s="1168"/>
      <c r="R5" s="469"/>
      <c r="S5" s="469"/>
      <c r="T5" s="470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71"/>
      <c r="AH5" s="1170"/>
      <c r="AI5" s="1198" t="str">
        <f>"Emissions in "&amp;$A$1</f>
        <v>Emissions in 2024</v>
      </c>
      <c r="AJ5" s="1199"/>
      <c r="AK5" s="1179" t="str">
        <f>"Change from "&amp;$A$4</f>
        <v>Change from 2023</v>
      </c>
      <c r="AL5" s="1199"/>
      <c r="AM5" s="1179" t="str">
        <f>"Change from "&amp;$A$3</f>
        <v>Change from 2005</v>
      </c>
      <c r="AN5" s="1180"/>
      <c r="AP5" s="1170"/>
      <c r="AQ5" s="1167" t="s">
        <v>449</v>
      </c>
      <c r="AR5" s="1168"/>
    </row>
    <row r="6" spans="1:45" ht="30" customHeight="1" thickBot="1" x14ac:dyDescent="0.45">
      <c r="A6" s="1110"/>
      <c r="E6" s="1171"/>
      <c r="F6" s="465" t="s">
        <v>401</v>
      </c>
      <c r="G6" s="466" t="s">
        <v>4</v>
      </c>
      <c r="H6" s="465" t="str">
        <f>$F$6</f>
        <v>Þús. tonn CO₂-íg.</v>
      </c>
      <c r="I6" s="466" t="s">
        <v>4</v>
      </c>
      <c r="J6" s="465" t="str">
        <f>$F$6</f>
        <v>Þús. tonn CO₂-íg.</v>
      </c>
      <c r="K6" s="467" t="s">
        <v>4</v>
      </c>
      <c r="M6" s="1171"/>
      <c r="N6" s="468" t="str">
        <f>$F$6</f>
        <v>Þús. tonn CO₂-íg.</v>
      </c>
      <c r="O6" s="465" t="s">
        <v>4</v>
      </c>
      <c r="R6" s="217"/>
      <c r="S6" s="217"/>
      <c r="T6" s="218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9"/>
      <c r="AH6" s="1171"/>
      <c r="AI6" s="564" t="s">
        <v>411</v>
      </c>
      <c r="AJ6" s="466" t="s">
        <v>4</v>
      </c>
      <c r="AK6" s="465" t="str">
        <f>$AI$6</f>
        <v>Thousand tons CO₂e</v>
      </c>
      <c r="AL6" s="466" t="s">
        <v>4</v>
      </c>
      <c r="AM6" s="465" t="str">
        <f>$AI$6</f>
        <v>Thousand tons CO₂e</v>
      </c>
      <c r="AN6" s="467" t="s">
        <v>4</v>
      </c>
      <c r="AP6" s="1171"/>
      <c r="AQ6" s="468" t="str">
        <f>$AI$6</f>
        <v>Thousand tons CO₂e</v>
      </c>
      <c r="AR6" s="465" t="s">
        <v>4</v>
      </c>
    </row>
    <row r="7" spans="1:45" s="8" customFormat="1" ht="17.399999999999999" thickTop="1" x14ac:dyDescent="0.4">
      <c r="A7" s="1111"/>
      <c r="B7" s="1112"/>
      <c r="C7" s="1099" t="s">
        <v>48</v>
      </c>
      <c r="D7" s="220" t="s">
        <v>48</v>
      </c>
      <c r="E7" s="438" t="s">
        <v>131</v>
      </c>
      <c r="F7" s="423"/>
      <c r="G7" s="448"/>
      <c r="H7" s="432"/>
      <c r="I7" s="448"/>
      <c r="J7" s="432"/>
      <c r="K7" s="429"/>
      <c r="L7" s="40"/>
      <c r="M7" s="438" t="s">
        <v>131</v>
      </c>
      <c r="N7" s="426"/>
      <c r="O7" s="1085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3"/>
      <c r="AG7" s="224"/>
      <c r="AH7" s="438" t="s">
        <v>160</v>
      </c>
      <c r="AI7" s="423"/>
      <c r="AJ7" s="448"/>
      <c r="AK7" s="432"/>
      <c r="AL7" s="448"/>
      <c r="AM7" s="432"/>
      <c r="AN7" s="429"/>
      <c r="AO7" s="40"/>
      <c r="AP7" s="438" t="s">
        <v>160</v>
      </c>
      <c r="AQ7" s="426"/>
      <c r="AR7" s="1085"/>
      <c r="AS7" s="40"/>
    </row>
    <row r="8" spans="1:45" s="8" customFormat="1" x14ac:dyDescent="0.4">
      <c r="A8" s="1112" t="s">
        <v>356</v>
      </c>
      <c r="B8" s="1112" t="s">
        <v>354</v>
      </c>
      <c r="C8" s="1099" t="s">
        <v>357</v>
      </c>
      <c r="D8" s="220" t="s">
        <v>48</v>
      </c>
      <c r="E8" s="439" t="s">
        <v>438</v>
      </c>
      <c r="F8" s="426" cm="1">
        <f t="array" ref="F8">INDEX('Talnagögn | Numerical Data'!$1:$1048576, _xlfn.XMATCH($A8,'Talnagögn | Numerical Data'!$B:$B), _xlfn.XMATCH($A$1,'Talnagögn | Numerical Data'!$1:$1))</f>
        <v>2863.861664527436</v>
      </c>
      <c r="G8" s="449">
        <f>F8/$F$13</f>
        <v>0.25935883198189541</v>
      </c>
      <c r="H8" s="427" cm="1">
        <f t="array" ref="H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_xlfn.XMATCH($A$4,'Talnagögn | Numerical Data'!$1:$1))</f>
        <v>55.142567579334354</v>
      </c>
      <c r="I8" s="454" cm="1">
        <f t="array" ref="I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_xlfn.XMATCH($A$4,'Talnagögn | Numerical Data'!$1:$1))-1</f>
        <v>1.9632638820753279E-2</v>
      </c>
      <c r="J8" s="427" cm="1">
        <f t="array" ref="J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_xlfn.XMATCH($A$3,'Talnagögn | Numerical Data'!$1:$1))</f>
        <v>-351.45783422172008</v>
      </c>
      <c r="K8" s="430" cm="1">
        <f t="array" ref="K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_xlfn.XMATCH($A$3,'Talnagögn | Numerical Data'!$1:$1))-1</f>
        <v>-0.10930728170511406</v>
      </c>
      <c r="L8" s="40"/>
      <c r="M8" s="439" t="s">
        <v>438</v>
      </c>
      <c r="N8" s="427" cm="1">
        <f t="array" ref="N8">INDEX('Talnagögn | Numerical Data'!$1:$1048576, _xlfn.XMATCH($B8,'Talnagögn | Numerical Data'!$B:$B), _xlfn.XMATCH($B$2,'Talnagögn | Numerical Data'!$1:$1))-INDEX('Talnagögn | Numerical Data'!$1:$1048576, _xlfn.XMATCH($A8,'Talnagögn | Numerical Data'!$B:$B), _xlfn.XMATCH($A$3,'Talnagögn | Numerical Data'!$1:$1))</f>
        <v>-812.01798102678458</v>
      </c>
      <c r="O8" s="424" cm="1">
        <f t="array" ref="O8">INDEX('Talnagögn | Numerical Data'!$1:$1048576, _xlfn.XMATCH($B8,'Talnagögn | Numerical Data'!$B:$B), _xlfn.XMATCH($B$2,'Talnagögn | Numerical Data'!$1:$1))/INDEX('Talnagögn | Numerical Data'!$1:$1048576, _xlfn.XMATCH($A8,'Talnagögn | Numerical Data'!$B:$B), _xlfn.XMATCH($A$3,'Talnagögn | Numerical Data'!$1:$1))-1</f>
        <v>-0.25254659182164663</v>
      </c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3"/>
      <c r="AG8" s="224"/>
      <c r="AH8" s="439" t="s">
        <v>161</v>
      </c>
      <c r="AI8" s="426" cm="1">
        <f t="array" ref="AI8">INDEX('Talnagögn | Numerical Data'!$1:$1048576, _xlfn.XMATCH($A8,'Talnagögn | Numerical Data'!$B:$B), _xlfn.XMATCH($A$1,'Talnagögn | Numerical Data'!$1:$1))</f>
        <v>2863.861664527436</v>
      </c>
      <c r="AJ8" s="449">
        <f>AI8/$F$13</f>
        <v>0.25935883198189541</v>
      </c>
      <c r="AK8" s="427" cm="1">
        <f t="array" ref="AK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_xlfn.XMATCH($A$4,'Talnagögn | Numerical Data'!$1:$1))</f>
        <v>55.142567579334354</v>
      </c>
      <c r="AL8" s="454" cm="1">
        <f t="array" ref="AL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_xlfn.XMATCH($A$4,'Talnagögn | Numerical Data'!$1:$1))-1</f>
        <v>1.9632638820753279E-2</v>
      </c>
      <c r="AM8" s="427" cm="1">
        <f t="array" ref="AM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_xlfn.XMATCH($A$3,'Talnagögn | Numerical Data'!$1:$1))</f>
        <v>-351.45783422172008</v>
      </c>
      <c r="AN8" s="430" cm="1">
        <f t="array" ref="AN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_xlfn.XMATCH($A$3,'Talnagögn | Numerical Data'!$1:$1))-1</f>
        <v>-0.10930728170511406</v>
      </c>
      <c r="AO8" s="40"/>
      <c r="AP8" s="439" t="s">
        <v>161</v>
      </c>
      <c r="AQ8" s="427" cm="1">
        <f t="array" ref="AQ8">INDEX('Talnagögn | Numerical Data'!$1:$1048576, _xlfn.XMATCH($B8,'Talnagögn | Numerical Data'!$B:$B), _xlfn.XMATCH($B$2,'Talnagögn | Numerical Data'!$1:$1))-INDEX('Talnagögn | Numerical Data'!$1:$1048576, _xlfn.XMATCH($A8,'Talnagögn | Numerical Data'!$B:$B), _xlfn.XMATCH($A$3,'Talnagögn | Numerical Data'!$1:$1))</f>
        <v>-812.01798102678458</v>
      </c>
      <c r="AR8" s="424" cm="1">
        <f t="array" ref="AR8">INDEX('Talnagögn | Numerical Data'!$1:$1048576, _xlfn.XMATCH($B8,'Talnagögn | Numerical Data'!$B:$B), _xlfn.XMATCH($B$2,'Talnagögn | Numerical Data'!$1:$1))/INDEX('Talnagögn | Numerical Data'!$1:$1048576, _xlfn.XMATCH($A8,'Talnagögn | Numerical Data'!$B:$B), _xlfn.XMATCH($A$3,'Talnagögn | Numerical Data'!$1:$1))-1</f>
        <v>-0.25254659182164663</v>
      </c>
    </row>
    <row r="9" spans="1:45" s="251" customFormat="1" ht="20.399999999999999" customHeight="1" thickBot="1" x14ac:dyDescent="0.45">
      <c r="A9" s="1113" t="s">
        <v>95</v>
      </c>
      <c r="B9" s="1113"/>
      <c r="C9" s="1100"/>
      <c r="D9" s="472" t="s">
        <v>48</v>
      </c>
      <c r="E9" s="473" t="s">
        <v>399</v>
      </c>
      <c r="F9" s="474" t="s">
        <v>214</v>
      </c>
      <c r="G9" s="475" t="s">
        <v>214</v>
      </c>
      <c r="H9" s="474" t="s">
        <v>214</v>
      </c>
      <c r="I9" s="475" t="s">
        <v>214</v>
      </c>
      <c r="J9" s="474" cm="1">
        <f t="array" ref="J9">INDEX('Talnagögn | Numerical Data'!$1:$1048576, _xlfn.XMATCH($A8,'Talnagögn | Numerical Data'!$B:$B), _xlfn.XMATCH($A$1,'Talnagögn | Numerical Data'!$1:$1))-INDEX('Talnagögn | Numerical Data'!$1:$1048576, _xlfn.XMATCH($A9,'Talnagögn | Numerical Data'!$B:$B), _xlfn.XMATCH($A$3,'Talnagögn | Numerical Data'!$1:$1))</f>
        <v>-245.46733547256417</v>
      </c>
      <c r="K9" s="476" cm="1">
        <f t="array" ref="K9">INDEX('Talnagögn | Numerical Data'!$1:$1048576, _xlfn.XMATCH($A8,'Talnagögn | Numerical Data'!$B:$B), _xlfn.XMATCH($A$1,'Talnagögn | Numerical Data'!$1:$1))/INDEX('Talnagögn | Numerical Data'!$1:$1048576, _xlfn.XMATCH($A9,'Talnagögn | Numerical Data'!$B:$B), _xlfn.XMATCH($A$3,'Talnagögn | Numerical Data'!$1:$1))-1</f>
        <v>-7.8945436611102981E-2</v>
      </c>
      <c r="M9" s="473" t="s">
        <v>399</v>
      </c>
      <c r="N9" s="477" cm="1">
        <f t="array" ref="N9">INDEX('Talnagögn | Numerical Data'!$1:$1048576, _xlfn.XMATCH($B8,'Talnagögn | Numerical Data'!$B:$B), _xlfn.XMATCH($B$2,'Talnagögn | Numerical Data'!$1:$1))-INDEX('Talnagögn | Numerical Data'!$1:$1048576, _xlfn.XMATCH($A9,'Talnagögn | Numerical Data'!$A:$A), _xlfn.XMATCH($A$3,'Talnagögn | Numerical Data'!$1:$1))</f>
        <v>-706.02748227762868</v>
      </c>
      <c r="O9" s="478" cm="1">
        <f t="array" ref="O9">INDEX('Talnagögn | Numerical Data'!$1:$1048576, _xlfn.XMATCH($B8,'Talnagögn | Numerical Data'!$B:$B), _xlfn.XMATCH($B$2,'Talnagögn | Numerical Data'!$1:$1))/INDEX('Talnagögn | Numerical Data'!$1:$1048576, _xlfn.XMATCH($A9,'Talnagögn | Numerical Data'!$B:$B), _xlfn.XMATCH($A$3,'Talnagögn | Numerical Data'!$1:$1))-1</f>
        <v>-0.22706747413272399</v>
      </c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80"/>
      <c r="AG9" s="481"/>
      <c r="AH9" s="473" t="s">
        <v>162</v>
      </c>
      <c r="AI9" s="474" t="s">
        <v>214</v>
      </c>
      <c r="AJ9" s="475" t="s">
        <v>214</v>
      </c>
      <c r="AK9" s="474" t="s">
        <v>214</v>
      </c>
      <c r="AL9" s="475" t="s">
        <v>214</v>
      </c>
      <c r="AM9" s="474" cm="1">
        <f t="array" ref="AM9">INDEX('Talnagögn | Numerical Data'!$1:$1048576, _xlfn.XMATCH($A8,'Talnagögn | Numerical Data'!$B:$B), _xlfn.XMATCH($A$1,'Talnagögn | Numerical Data'!$1:$1))-INDEX('Talnagögn | Numerical Data'!$1:$1048576, _xlfn.XMATCH($A9,'Talnagögn | Numerical Data'!$B:$B), _xlfn.XMATCH($A$3,'Talnagögn | Numerical Data'!$1:$1))</f>
        <v>-245.46733547256417</v>
      </c>
      <c r="AN9" s="476" cm="1">
        <f t="array" ref="AN9">INDEX('Talnagögn | Numerical Data'!$1:$1048576, _xlfn.XMATCH($A8,'Talnagögn | Numerical Data'!$B:$B), _xlfn.XMATCH($A$1,'Talnagögn | Numerical Data'!$1:$1))/INDEX('Talnagögn | Numerical Data'!$1:$1048576, _xlfn.XMATCH($A9,'Talnagögn | Numerical Data'!$B:$B), _xlfn.XMATCH($A$3,'Talnagögn | Numerical Data'!$1:$1))-1</f>
        <v>-7.8945436611102981E-2</v>
      </c>
      <c r="AP9" s="473" t="s">
        <v>162</v>
      </c>
      <c r="AQ9" s="477" cm="1">
        <f t="array" ref="AQ9">INDEX('Talnagögn | Numerical Data'!$1:$1048576, _xlfn.XMATCH($B8,'Talnagögn | Numerical Data'!$B:$B), _xlfn.XMATCH($B$2,'Talnagögn | Numerical Data'!$1:$1))-INDEX('Talnagögn | Numerical Data'!$1:$1048576, _xlfn.XMATCH($A9,'Talnagögn | Numerical Data'!$A:$A), _xlfn.XMATCH($A$3,'Talnagögn | Numerical Data'!$1:$1))</f>
        <v>-706.02748227762868</v>
      </c>
      <c r="AR9" s="478" cm="1">
        <f t="array" ref="AR9">INDEX('Talnagögn | Numerical Data'!$1:$1048576, _xlfn.XMATCH($B8,'Talnagögn | Numerical Data'!$B:$B), _xlfn.XMATCH($B$2,'Talnagögn | Numerical Data'!$1:$1))/INDEX('Talnagögn | Numerical Data'!$1:$1048576, _xlfn.XMATCH($A9,'Talnagögn | Numerical Data'!$B:$B), _xlfn.XMATCH($A$3,'Talnagögn | Numerical Data'!$1:$1))-1</f>
        <v>-0.22706747413272399</v>
      </c>
    </row>
    <row r="10" spans="1:45" s="8" customFormat="1" ht="24" customHeight="1" thickTop="1" thickBot="1" x14ac:dyDescent="0.45">
      <c r="A10" s="1112" t="s">
        <v>360</v>
      </c>
      <c r="B10" s="1112" t="s">
        <v>364</v>
      </c>
      <c r="C10" s="1099" t="s">
        <v>48</v>
      </c>
      <c r="D10" s="220" t="s">
        <v>48</v>
      </c>
      <c r="E10" s="440" t="s">
        <v>236</v>
      </c>
      <c r="F10" s="437" cm="1">
        <f t="array" ref="F10">INDEX('Talnagögn | Numerical Data'!$1:$1048576, _xlfn.XMATCH($A10,'Talnagögn | Numerical Data'!$B:$B), _xlfn.XMATCH($A$1,'Talnagögn | Numerical Data'!1:1))</f>
        <v>6268.7228611357514</v>
      </c>
      <c r="G10" s="450">
        <f>F10/$F$13</f>
        <v>0.5677120020916423</v>
      </c>
      <c r="H10" s="1093" cm="1">
        <f t="array" ref="H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_xlfn.XMATCH($A$4,'Talnagögn | Numerical Data'!$1:$1))</f>
        <v>21.717931307933213</v>
      </c>
      <c r="I10" s="1094" cm="1">
        <f t="array" ref="I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_xlfn.XMATCH($A$4,'Talnagögn | Numerical Data'!$1:$1))-1</f>
        <v>3.4765350038761245E-3</v>
      </c>
      <c r="J10" s="1027" cm="1">
        <f t="array" ref="J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_xlfn.XMATCH($A$3,'Talnagögn | Numerical Data'!$1:$1))</f>
        <v>0.56860473866163375</v>
      </c>
      <c r="K10" s="1095" cm="1">
        <f t="array" ref="K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_xlfn.XMATCH($A$3,'Talnagögn | Numerical Data'!$1:$1))-1</f>
        <v>9.0713265086250772E-5</v>
      </c>
      <c r="L10" s="40"/>
      <c r="M10" s="440" t="s">
        <v>236</v>
      </c>
      <c r="N10" s="437" cm="1">
        <f t="array" ref="N10">INDEX('Talnagögn | Numerical Data'!$1:$1048576, _xlfn.XMATCH($B10,'Talnagögn | Numerical Data'!$B:$B), _xlfn.XMATCH($B$2,'Talnagögn | Numerical Data'!$1:$1))-INDEX('Talnagögn | Numerical Data'!$1:$1048576, _xlfn.XMATCH($A10,'Talnagögn | Numerical Data'!$B:$B), _xlfn.XMATCH($A$3,'Talnagögn | Numerical Data'!$1:$1))</f>
        <v>-142.44647878868727</v>
      </c>
      <c r="O10" s="1086" cm="1">
        <f t="array" ref="O10">INDEX('Talnagögn | Numerical Data'!$1:$1048576, _xlfn.XMATCH($B10,'Talnagögn | Numerical Data'!$B:$B), _xlfn.XMATCH($B$2,'Talnagögn | Numerical Data'!$1:$1))/INDEX('Talnagögn | Numerical Data'!$1:$1048576, _xlfn.XMATCH($A10,'Talnagögn | Numerical Data'!$B:$B), _xlfn.XMATCH($A$3,'Talnagögn | Numerical Data'!$1:$1))-1</f>
        <v>-2.2725426491109535E-2</v>
      </c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3"/>
      <c r="AG10" s="224"/>
      <c r="AH10" s="746" t="s">
        <v>419</v>
      </c>
      <c r="AI10" s="437" cm="1">
        <f t="array" ref="AI10">INDEX('Talnagögn | Numerical Data'!$1:$1048576, _xlfn.XMATCH($A10,'Talnagögn | Numerical Data'!$B:$B), _xlfn.XMATCH($A$1,'Talnagögn | Numerical Data'!1:1))</f>
        <v>6268.7228611357514</v>
      </c>
      <c r="AJ10" s="450">
        <f>AI10/$F$13</f>
        <v>0.5677120020916423</v>
      </c>
      <c r="AK10" s="1093" cm="1">
        <f t="array" ref="AK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_xlfn.XMATCH($A$4,'Talnagögn | Numerical Data'!$1:$1))</f>
        <v>21.717931307933213</v>
      </c>
      <c r="AL10" s="1094" cm="1">
        <f t="array" ref="AL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_xlfn.XMATCH($A$4,'Talnagögn | Numerical Data'!$1:$1))-1</f>
        <v>3.4765350038761245E-3</v>
      </c>
      <c r="AM10" s="1027" cm="1">
        <f t="array" ref="AM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_xlfn.XMATCH($A$3,'Talnagögn | Numerical Data'!$1:$1))</f>
        <v>0.56860473866163375</v>
      </c>
      <c r="AN10" s="1095" cm="1">
        <f t="array" ref="AN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_xlfn.XMATCH($A$3,'Talnagögn | Numerical Data'!$1:$1))-1</f>
        <v>9.0713265086250772E-5</v>
      </c>
      <c r="AO10" s="40"/>
      <c r="AP10" s="746" t="s">
        <v>419</v>
      </c>
      <c r="AQ10" s="437" cm="1">
        <f t="array" ref="AQ10">INDEX('Talnagögn | Numerical Data'!$1:$1048576, _xlfn.XMATCH($B10,'Talnagögn | Numerical Data'!$B:$B), _xlfn.XMATCH($B$2,'Talnagögn | Numerical Data'!$1:$1))-INDEX('Talnagögn | Numerical Data'!$1:$1048576, _xlfn.XMATCH($A10,'Talnagögn | Numerical Data'!$B:$B), _xlfn.XMATCH($A$3,'Talnagögn | Numerical Data'!$1:$1))</f>
        <v>-142.44647878868727</v>
      </c>
      <c r="AR10" s="1086" cm="1">
        <f t="array" ref="AR10">INDEX('Talnagögn | Numerical Data'!$1:$1048576, _xlfn.XMATCH($B10,'Talnagögn | Numerical Data'!$B:$B), _xlfn.XMATCH($B$2,'Talnagögn | Numerical Data'!$1:$1))/INDEX('Talnagögn | Numerical Data'!$1:$1048576, _xlfn.XMATCH($A10,'Talnagögn | Numerical Data'!$B:$B), _xlfn.XMATCH($A$3,'Talnagögn | Numerical Data'!$1:$1))-1</f>
        <v>-2.2725426491109535E-2</v>
      </c>
    </row>
    <row r="11" spans="1:45" s="8" customFormat="1" ht="24" customHeight="1" thickTop="1" thickBot="1" x14ac:dyDescent="0.45">
      <c r="A11" s="1112" t="s">
        <v>358</v>
      </c>
      <c r="B11" s="1112" t="s">
        <v>362</v>
      </c>
      <c r="C11" s="1099"/>
      <c r="D11" s="220" t="s">
        <v>48</v>
      </c>
      <c r="E11" s="441" t="s">
        <v>158</v>
      </c>
      <c r="F11" s="434" cm="1">
        <f t="array" ref="F11">INDEX('Talnagögn | Numerical Data'!$1:$1048576, _xlfn.XMATCH($A11,'Talnagögn | Numerical Data'!$B:$B), _xlfn.XMATCH($A$1,'Talnagögn | Numerical Data'!$1:$1))</f>
        <v>1889.154</v>
      </c>
      <c r="G11" s="451">
        <f>F11/$F$13</f>
        <v>0.17108674659213161</v>
      </c>
      <c r="H11" s="435" cm="1">
        <f t="array" ref="H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76.624000000000024</v>
      </c>
      <c r="I11" s="455" cm="1">
        <f t="array" ref="I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4.2274610627134557E-2</v>
      </c>
      <c r="J11" s="434" cm="1">
        <f t="array" ref="J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1036.2710689072128</v>
      </c>
      <c r="K11" s="436" cm="1">
        <f t="array" ref="K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1.2150214655831522</v>
      </c>
      <c r="L11" s="40"/>
      <c r="M11" s="441" t="s">
        <v>158</v>
      </c>
      <c r="N11" s="434" cm="1">
        <f t="array" ref="N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1074.6137379796926</v>
      </c>
      <c r="O11" s="1087" cm="1">
        <f t="array" ref="O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1.2599780096464173</v>
      </c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3"/>
      <c r="AG11" s="224"/>
      <c r="AH11" s="441" t="s">
        <v>439</v>
      </c>
      <c r="AI11" s="434" cm="1">
        <f t="array" ref="AI11">INDEX('Talnagögn | Numerical Data'!$1:$1048576, _xlfn.XMATCH($A11,'Talnagögn | Numerical Data'!$B:$B), _xlfn.XMATCH($A$1,'Talnagögn | Numerical Data'!$1:$1))</f>
        <v>1889.154</v>
      </c>
      <c r="AJ11" s="451">
        <f>AI11/$F$13</f>
        <v>0.17108674659213161</v>
      </c>
      <c r="AK11" s="435" cm="1">
        <f t="array" ref="AK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76.624000000000024</v>
      </c>
      <c r="AL11" s="455" cm="1">
        <f t="array" ref="AL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4.2274610627134557E-2</v>
      </c>
      <c r="AM11" s="434" cm="1">
        <f t="array" ref="AM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1036.2710689072128</v>
      </c>
      <c r="AN11" s="436" cm="1">
        <f t="array" ref="AN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1.2150214655831522</v>
      </c>
      <c r="AO11" s="40"/>
      <c r="AP11" s="441" t="s">
        <v>163</v>
      </c>
      <c r="AQ11" s="434" cm="1">
        <f t="array" ref="AQ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1074.6137379796926</v>
      </c>
      <c r="AR11" s="1087" cm="1">
        <f t="array" ref="AR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1.2599780096464173</v>
      </c>
    </row>
    <row r="12" spans="1:45" s="8" customFormat="1" ht="24" customHeight="1" thickTop="1" x14ac:dyDescent="0.4">
      <c r="A12" s="1112" t="s">
        <v>359</v>
      </c>
      <c r="B12" s="1112" t="s">
        <v>363</v>
      </c>
      <c r="C12" s="1099" t="s">
        <v>369</v>
      </c>
      <c r="D12" s="220" t="s">
        <v>48</v>
      </c>
      <c r="E12" s="443" t="s">
        <v>355</v>
      </c>
      <c r="F12" s="444" cm="1">
        <f t="array" ref="F12">INDEX('Talnagögn | Numerical Data'!$1:$1048576, _xlfn.XMATCH($A12,'Talnagögn | Numerical Data'!$B:$B), _xlfn.XMATCH($A$1,'Talnagögn | Numerical Data'!$1:$1))</f>
        <v>20.344146606666669</v>
      </c>
      <c r="G12" s="452">
        <f>F12/$F$13</f>
        <v>1.8424193343305811E-3</v>
      </c>
      <c r="H12" s="445" cm="1">
        <f t="array" ref="H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_xlfn.XMATCH($A$4,'Talnagögn | Numerical Data'!$1:$1))</f>
        <v>-1.9967661266666639</v>
      </c>
      <c r="I12" s="456" cm="1">
        <f t="array" ref="I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_xlfn.XMATCH($A$4,'Talnagögn | Numerical Data'!$1:$1))-1</f>
        <v>-8.9377106052047184E-2</v>
      </c>
      <c r="J12" s="446" cm="1">
        <f t="array" ref="J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_xlfn.XMATCH($A$3,'Talnagögn | Numerical Data'!$1:$1))</f>
        <v>-5.6629915466666638</v>
      </c>
      <c r="K12" s="447" cm="1">
        <f t="array" ref="K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_xlfn.XMATCH($A$3,'Talnagögn | Numerical Data'!$1:$1))-1</f>
        <v>-0.21774758580812315</v>
      </c>
      <c r="L12" s="40"/>
      <c r="M12" s="443" t="s">
        <v>355</v>
      </c>
      <c r="N12" s="446" cm="1">
        <f t="array" ref="N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-2.1013828040553761</v>
      </c>
      <c r="O12" s="1088" cm="1">
        <f t="array" ref="O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-8.0800232292611684E-2</v>
      </c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3"/>
      <c r="AG12" s="224"/>
      <c r="AH12" s="443" t="s">
        <v>251</v>
      </c>
      <c r="AI12" s="444" cm="1">
        <f t="array" ref="AI12">INDEX('Talnagögn | Numerical Data'!$1:$1048576, _xlfn.XMATCH($A12,'Talnagögn | Numerical Data'!$B:$B), _xlfn.XMATCH($A$1,'Talnagögn | Numerical Data'!$1:$1))</f>
        <v>20.344146606666669</v>
      </c>
      <c r="AJ12" s="452">
        <f>AI12/$F$13</f>
        <v>1.8424193343305811E-3</v>
      </c>
      <c r="AK12" s="445" cm="1">
        <f t="array" ref="AK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_xlfn.XMATCH($A$4,'Talnagögn | Numerical Data'!$1:$1))</f>
        <v>-1.9967661266666639</v>
      </c>
      <c r="AL12" s="456" cm="1">
        <f t="array" ref="AL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_xlfn.XMATCH($A$4,'Talnagögn | Numerical Data'!$1:$1))-1</f>
        <v>-8.9377106052047184E-2</v>
      </c>
      <c r="AM12" s="446" cm="1">
        <f t="array" ref="AM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_xlfn.XMATCH($A$3,'Talnagögn | Numerical Data'!$1:$1))</f>
        <v>-5.6629915466666638</v>
      </c>
      <c r="AN12" s="447" cm="1">
        <f t="array" ref="AN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_xlfn.XMATCH($A$3,'Talnagögn | Numerical Data'!$1:$1))-1</f>
        <v>-0.21774758580812315</v>
      </c>
      <c r="AO12" s="40"/>
      <c r="AP12" s="443" t="s">
        <v>251</v>
      </c>
      <c r="AQ12" s="446" cm="1">
        <f t="array" ref="AQ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-2.1013828040553761</v>
      </c>
      <c r="AR12" s="1088" cm="1">
        <f t="array" ref="AR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-8.0800232292611684E-2</v>
      </c>
    </row>
    <row r="13" spans="1:45" s="8" customFormat="1" ht="24" customHeight="1" x14ac:dyDescent="0.4">
      <c r="A13" s="1112" t="s">
        <v>361</v>
      </c>
      <c r="B13" s="1112" t="s">
        <v>365</v>
      </c>
      <c r="C13" s="1099" t="s">
        <v>368</v>
      </c>
      <c r="D13" s="220" t="s">
        <v>48</v>
      </c>
      <c r="E13" s="442" t="s">
        <v>12</v>
      </c>
      <c r="F13" s="428" cm="1">
        <f t="array" ref="F13">INDEX('Talnagögn | Numerical Data'!$1:$1048576, _xlfn.XMATCH($A13,'Talnagögn | Numerical Data'!$B:$B), _xlfn.XMATCH($A$1,'Talnagögn | Numerical Data'!1:1))</f>
        <v>11042.082672269855</v>
      </c>
      <c r="G13" s="453">
        <f>SUM(G7:G12)</f>
        <v>1</v>
      </c>
      <c r="H13" s="433" cm="1">
        <f t="array" ref="H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_xlfn.XMATCH($A$4,'Talnagögn | Numerical Data'!$1:$1))</f>
        <v>151.48773276060092</v>
      </c>
      <c r="I13" s="457" cm="1">
        <f t="array" ref="I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_xlfn.XMATCH($A$4,'Talnagögn | Numerical Data'!$1:$1))-1</f>
        <v>1.3909959336659172E-2</v>
      </c>
      <c r="J13" s="433" cm="1">
        <f t="array" ref="J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_xlfn.XMATCH($A$3,'Talnagögn | Numerical Data'!$1:$1))</f>
        <v>679.71884787748786</v>
      </c>
      <c r="K13" s="431" cm="1">
        <f t="array" ref="K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_xlfn.XMATCH($A$3,'Talnagögn | Numerical Data'!$1:$1))-1</f>
        <v>6.5594960705536165E-2</v>
      </c>
      <c r="L13" s="40"/>
      <c r="M13" s="442" t="s">
        <v>12</v>
      </c>
      <c r="N13" s="428" cm="1">
        <f t="array" ref="N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118.04789536016506</v>
      </c>
      <c r="O13" s="425" cm="1">
        <f t="array" ref="O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1.1391985203442534E-2</v>
      </c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3"/>
      <c r="AG13" s="224"/>
      <c r="AH13" s="442" t="s">
        <v>164</v>
      </c>
      <c r="AI13" s="428" cm="1">
        <f t="array" ref="AI13">INDEX('Talnagögn | Numerical Data'!$1:$1048576, _xlfn.XMATCH($A13,'Talnagögn | Numerical Data'!$B:$B), _xlfn.XMATCH($A$1,'Talnagögn | Numerical Data'!1:1))</f>
        <v>11042.082672269855</v>
      </c>
      <c r="AJ13" s="453">
        <f>SUM(AJ7:AJ12)</f>
        <v>1</v>
      </c>
      <c r="AK13" s="433" cm="1">
        <f t="array" ref="AK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_xlfn.XMATCH($A$4,'Talnagögn | Numerical Data'!$1:$1))</f>
        <v>151.48773276060092</v>
      </c>
      <c r="AL13" s="457" cm="1">
        <f t="array" ref="AL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_xlfn.XMATCH($A$4,'Talnagögn | Numerical Data'!$1:$1))-1</f>
        <v>1.3909959336659172E-2</v>
      </c>
      <c r="AM13" s="433" cm="1">
        <f t="array" ref="AM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_xlfn.XMATCH($A$3,'Talnagögn | Numerical Data'!$1:$1))</f>
        <v>679.71884787748786</v>
      </c>
      <c r="AN13" s="431" cm="1">
        <f t="array" ref="AN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_xlfn.XMATCH($A$3,'Talnagögn | Numerical Data'!$1:$1))-1</f>
        <v>6.5594960705536165E-2</v>
      </c>
      <c r="AO13" s="40"/>
      <c r="AP13" s="442" t="s">
        <v>164</v>
      </c>
      <c r="AQ13" s="428" cm="1">
        <f t="array" ref="AQ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118.04789536016506</v>
      </c>
      <c r="AR13" s="1092" cm="1">
        <f t="array" ref="AR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1.1391985203442534E-2</v>
      </c>
    </row>
    <row r="14" spans="1:45" s="8" customFormat="1" x14ac:dyDescent="0.4">
      <c r="A14" s="1035" t="str">
        <f>"Losun Íslands eftir skuldbindingum "&amp;$A$1</f>
        <v>Losun Íslands eftir skuldbindingum 2024</v>
      </c>
      <c r="B14" s="1035" t="str">
        <f>"Iceland's Emissions in "&amp;$A$1&amp;" according to Obligations"</f>
        <v>Iceland's Emissions in 2024 according to Obligations</v>
      </c>
      <c r="C14" s="1099" t="s">
        <v>48</v>
      </c>
      <c r="D14" s="220"/>
      <c r="E14" s="226" t="s">
        <v>252</v>
      </c>
      <c r="F14" s="227"/>
      <c r="G14" s="228"/>
      <c r="H14" s="229"/>
      <c r="I14" s="230"/>
      <c r="J14" s="229"/>
      <c r="K14" s="230"/>
      <c r="L14" s="40"/>
      <c r="M14" s="226"/>
      <c r="P14" s="217"/>
      <c r="Q14" s="221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3"/>
      <c r="AG14" s="224"/>
      <c r="AH14" s="226" t="s">
        <v>165</v>
      </c>
      <c r="AI14" s="228"/>
      <c r="AJ14" s="228"/>
      <c r="AK14" s="228"/>
      <c r="AL14" s="228"/>
      <c r="AM14" s="228"/>
      <c r="AN14" s="228"/>
      <c r="AO14" s="40"/>
      <c r="AP14" s="228"/>
      <c r="AQ14" s="240"/>
    </row>
    <row r="15" spans="1:45" s="8" customFormat="1" x14ac:dyDescent="0.4">
      <c r="A15" s="1035"/>
      <c r="B15" s="1035"/>
      <c r="C15" s="1099"/>
      <c r="D15" s="220"/>
      <c r="E15" s="226" t="s">
        <v>440</v>
      </c>
      <c r="F15" s="229"/>
      <c r="G15" s="135"/>
      <c r="I15" s="217"/>
      <c r="J15" s="217"/>
      <c r="K15" s="221"/>
      <c r="L15" s="40"/>
      <c r="M15" s="40"/>
      <c r="N15" s="222"/>
      <c r="O15" s="222"/>
      <c r="P15" s="222"/>
      <c r="Q15" s="221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3"/>
      <c r="AG15" s="224"/>
      <c r="AH15" s="226" t="s">
        <v>166</v>
      </c>
      <c r="AI15" s="227"/>
      <c r="AJ15" s="228"/>
      <c r="AK15" s="229"/>
      <c r="AL15" s="230"/>
      <c r="AM15" s="229"/>
      <c r="AN15" s="230"/>
      <c r="AO15" s="40"/>
      <c r="AP15" s="230"/>
      <c r="AQ15" s="240"/>
    </row>
    <row r="16" spans="1:45" s="8" customFormat="1" x14ac:dyDescent="0.4">
      <c r="A16" s="1035"/>
      <c r="B16" s="1035"/>
      <c r="C16" s="1099"/>
      <c r="D16" s="220"/>
      <c r="E16" s="231" t="s">
        <v>253</v>
      </c>
      <c r="F16" s="228"/>
      <c r="G16" s="228"/>
      <c r="H16" s="228"/>
      <c r="I16" s="228"/>
      <c r="J16" s="228"/>
      <c r="K16" s="228"/>
      <c r="L16" s="40"/>
      <c r="M16" s="40"/>
      <c r="P16" s="228"/>
      <c r="Q16" s="228"/>
      <c r="R16" s="232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4"/>
      <c r="AG16" s="224"/>
      <c r="AH16" s="226" t="s">
        <v>167</v>
      </c>
      <c r="AI16" s="229"/>
      <c r="AJ16" s="135"/>
      <c r="AK16" s="240"/>
      <c r="AL16" s="217"/>
      <c r="AM16" s="217"/>
      <c r="AN16" s="221"/>
      <c r="AO16" s="40"/>
      <c r="AP16" s="221"/>
      <c r="AQ16" s="240"/>
    </row>
    <row r="17" spans="2:32" ht="18.600000000000001" customHeight="1" x14ac:dyDescent="0.4">
      <c r="B17" s="1036"/>
      <c r="AF17" s="234"/>
    </row>
    <row r="18" spans="2:32" x14ac:dyDescent="0.4">
      <c r="B18" s="1036"/>
      <c r="K18" s="1007"/>
      <c r="AF18" s="234"/>
    </row>
    <row r="19" spans="2:32" x14ac:dyDescent="0.4">
      <c r="AF19" s="234"/>
    </row>
    <row r="20" spans="2:32" x14ac:dyDescent="0.4">
      <c r="AF20" s="234"/>
    </row>
    <row r="21" spans="2:32" x14ac:dyDescent="0.4">
      <c r="AF21" s="234"/>
    </row>
    <row r="22" spans="2:32" x14ac:dyDescent="0.4">
      <c r="AF22" s="234"/>
    </row>
    <row r="23" spans="2:32" x14ac:dyDescent="0.4">
      <c r="AF23" s="234"/>
    </row>
    <row r="24" spans="2:32" x14ac:dyDescent="0.4">
      <c r="AF24" s="234"/>
    </row>
    <row r="25" spans="2:32" x14ac:dyDescent="0.4">
      <c r="AF25" s="234"/>
    </row>
    <row r="26" spans="2:32" x14ac:dyDescent="0.4">
      <c r="AF26" s="234"/>
    </row>
    <row r="27" spans="2:32" x14ac:dyDescent="0.4">
      <c r="AF27" s="234"/>
    </row>
    <row r="28" spans="2:32" x14ac:dyDescent="0.4">
      <c r="AF28" s="234"/>
    </row>
    <row r="29" spans="2:32" x14ac:dyDescent="0.4">
      <c r="AF29" s="234"/>
    </row>
    <row r="30" spans="2:32" x14ac:dyDescent="0.4">
      <c r="AF30" s="234"/>
    </row>
    <row r="31" spans="2:32" x14ac:dyDescent="0.4">
      <c r="AF31" s="234"/>
    </row>
    <row r="32" spans="2:32" x14ac:dyDescent="0.4">
      <c r="AF32" s="234"/>
    </row>
    <row r="33" spans="1:43" x14ac:dyDescent="0.4">
      <c r="AF33" s="234"/>
    </row>
    <row r="34" spans="1:43" x14ac:dyDescent="0.4">
      <c r="AF34" s="234"/>
    </row>
    <row r="35" spans="1:43" x14ac:dyDescent="0.4">
      <c r="AF35" s="234"/>
    </row>
    <row r="36" spans="1:43" x14ac:dyDescent="0.4">
      <c r="AF36" s="234"/>
    </row>
    <row r="37" spans="1:43" x14ac:dyDescent="0.4">
      <c r="AF37" s="234"/>
    </row>
    <row r="38" spans="1:43" x14ac:dyDescent="0.4">
      <c r="AF38" s="234"/>
    </row>
    <row r="39" spans="1:43" x14ac:dyDescent="0.4">
      <c r="AF39" s="234"/>
    </row>
    <row r="40" spans="1:43" x14ac:dyDescent="0.4">
      <c r="AF40" s="234"/>
    </row>
    <row r="41" spans="1:43" s="485" customFormat="1" ht="27" customHeight="1" x14ac:dyDescent="0.4">
      <c r="A41" s="1114"/>
      <c r="B41" s="1114"/>
      <c r="C41" s="1101"/>
      <c r="E41" s="485" t="s">
        <v>34</v>
      </c>
      <c r="AF41" s="486"/>
      <c r="AH41" s="485" t="s">
        <v>168</v>
      </c>
      <c r="AI41" s="487"/>
      <c r="AK41" s="487"/>
      <c r="AM41" s="487"/>
      <c r="AQ41" s="487"/>
    </row>
    <row r="65" spans="1:43" s="485" customFormat="1" ht="27" customHeight="1" x14ac:dyDescent="0.4">
      <c r="A65" s="1114"/>
      <c r="B65" s="1114"/>
      <c r="C65" s="1101"/>
      <c r="E65" s="485" t="s">
        <v>453</v>
      </c>
      <c r="AF65" s="486"/>
      <c r="AH65" s="485" t="s">
        <v>454</v>
      </c>
      <c r="AI65" s="487"/>
      <c r="AK65" s="487"/>
      <c r="AM65" s="487"/>
      <c r="AQ65" s="487"/>
    </row>
    <row r="114" spans="1:44" s="458" customFormat="1" ht="45" customHeight="1" x14ac:dyDescent="0.85">
      <c r="A114" s="1115"/>
      <c r="B114" s="1115"/>
      <c r="C114" s="1102"/>
      <c r="E114" s="1078" t="s">
        <v>109</v>
      </c>
      <c r="AF114" s="459"/>
      <c r="AH114" s="1078" t="s">
        <v>206</v>
      </c>
      <c r="AI114" s="460"/>
      <c r="AK114" s="460"/>
      <c r="AM114" s="460"/>
      <c r="AQ114" s="460"/>
    </row>
    <row r="115" spans="1:44" s="461" customFormat="1" ht="49.5" customHeight="1" x14ac:dyDescent="0.4">
      <c r="A115" s="1116"/>
      <c r="B115" s="1116"/>
      <c r="C115" s="1103"/>
      <c r="E115" s="1079" t="s">
        <v>208</v>
      </c>
      <c r="F115" s="462"/>
      <c r="G115" s="462"/>
      <c r="H115" s="462"/>
      <c r="I115" s="462"/>
      <c r="J115" s="462"/>
      <c r="K115" s="462"/>
      <c r="L115" s="462"/>
      <c r="M115" s="462"/>
      <c r="N115" s="462"/>
      <c r="O115" s="462"/>
      <c r="P115" s="463"/>
      <c r="Q115" s="463"/>
      <c r="R115" s="463"/>
      <c r="S115" s="463"/>
      <c r="T115" s="463"/>
      <c r="U115" s="463"/>
      <c r="V115" s="463"/>
      <c r="W115" s="463"/>
      <c r="X115" s="463"/>
      <c r="Y115" s="463"/>
      <c r="Z115" s="463"/>
      <c r="AA115" s="463"/>
      <c r="AB115" s="463"/>
      <c r="AC115" s="463"/>
      <c r="AD115" s="463"/>
      <c r="AE115" s="463"/>
      <c r="AF115" s="464"/>
      <c r="AH115" s="1079" t="s">
        <v>451</v>
      </c>
      <c r="AI115" s="462"/>
      <c r="AJ115" s="462"/>
      <c r="AK115" s="462"/>
      <c r="AL115" s="462"/>
      <c r="AM115" s="462"/>
      <c r="AN115" s="462"/>
      <c r="AO115" s="462"/>
      <c r="AP115" s="462"/>
      <c r="AQ115" s="462"/>
    </row>
    <row r="117" spans="1:44" ht="36.6" customHeight="1" x14ac:dyDescent="0.55000000000000004">
      <c r="A117" s="1111"/>
      <c r="B117" s="1035"/>
      <c r="E117" s="1133" t="s">
        <v>458</v>
      </c>
      <c r="AH117" s="1133" t="s">
        <v>460</v>
      </c>
      <c r="AI117" s="40"/>
      <c r="AK117" s="40"/>
      <c r="AM117" s="40"/>
      <c r="AQ117" s="40"/>
    </row>
    <row r="118" spans="1:44" ht="39.6" customHeight="1" x14ac:dyDescent="0.4">
      <c r="A118" s="1111"/>
      <c r="B118" s="1035"/>
      <c r="E118" s="1160" t="str">
        <f>"STAÐAN ÁRIÐ "&amp;$A$1</f>
        <v>STAÐAN ÁRIÐ 2024</v>
      </c>
      <c r="F118" s="1163"/>
      <c r="G118" s="1163"/>
      <c r="H118" s="1163"/>
      <c r="I118" s="1163"/>
      <c r="J118" s="1163"/>
      <c r="K118" s="1164"/>
      <c r="M118" s="1160" t="s">
        <v>403</v>
      </c>
      <c r="N118" s="1162" t="str">
        <f>$N$4</f>
        <v>Áætluð breyting í losun milli 2005 og 2030</v>
      </c>
      <c r="O118" s="1163"/>
      <c r="AH118" s="1160" t="str">
        <f>$A$1&amp;" EMISSIONS"</f>
        <v>2024 EMISSIONS</v>
      </c>
      <c r="AI118" s="1196"/>
      <c r="AJ118" s="1163"/>
      <c r="AK118" s="1163"/>
      <c r="AL118" s="1163"/>
      <c r="AM118" s="1163"/>
      <c r="AN118" s="1164"/>
      <c r="AP118" s="1160" t="s">
        <v>402</v>
      </c>
      <c r="AQ118" s="1162" t="str">
        <f>$AQ$4</f>
        <v>Estimated change in emissions between 2005 and 2030</v>
      </c>
      <c r="AR118" s="1163"/>
    </row>
    <row r="119" spans="1:44" ht="30" customHeight="1" x14ac:dyDescent="0.4">
      <c r="A119" s="1111"/>
      <c r="B119" s="1035"/>
      <c r="E119" s="1160"/>
      <c r="F119" s="1175" t="str">
        <f>$F$5</f>
        <v>Losun 2024</v>
      </c>
      <c r="G119" s="1176"/>
      <c r="H119" s="1177" t="str">
        <f>$H$5</f>
        <v>Breyting frá 2023</v>
      </c>
      <c r="I119" s="1176"/>
      <c r="J119" s="1177" t="str">
        <f>$J$5</f>
        <v>Breyting frá 2005</v>
      </c>
      <c r="K119" s="1178"/>
      <c r="M119" s="1160"/>
      <c r="N119" s="1200" t="str">
        <f>$N$5</f>
        <v>Sviðsmynd með núgildandi aðgerðum</v>
      </c>
      <c r="O119" s="1201"/>
      <c r="P119" s="217"/>
      <c r="Q119" s="218"/>
      <c r="R119" s="217"/>
      <c r="S119" s="217"/>
      <c r="T119" s="224"/>
      <c r="AH119" s="1160"/>
      <c r="AI119" s="1175" t="str">
        <f>$AI$5</f>
        <v>Emissions in 2024</v>
      </c>
      <c r="AJ119" s="1176"/>
      <c r="AK119" s="1177" t="str">
        <f>$AK$5</f>
        <v>Change from 2023</v>
      </c>
      <c r="AL119" s="1176"/>
      <c r="AM119" s="1177" t="str">
        <f>$AM$5</f>
        <v>Change from 2005</v>
      </c>
      <c r="AN119" s="1178"/>
      <c r="AP119" s="1160"/>
      <c r="AQ119" s="1173" t="str">
        <f>$AQ$5</f>
        <v>Scenario: 
With Existing Measures</v>
      </c>
      <c r="AR119" s="1174"/>
    </row>
    <row r="120" spans="1:44" ht="30" customHeight="1" thickBot="1" x14ac:dyDescent="0.45">
      <c r="A120" s="1111"/>
      <c r="B120" s="1035"/>
      <c r="E120" s="1161"/>
      <c r="F120" s="482" t="str">
        <f>$F$6</f>
        <v>Þús. tonn CO₂-íg.</v>
      </c>
      <c r="G120" s="484" t="s">
        <v>4</v>
      </c>
      <c r="H120" s="482" t="str">
        <f>$F$6</f>
        <v>Þús. tonn CO₂-íg.</v>
      </c>
      <c r="I120" s="484" t="s">
        <v>4</v>
      </c>
      <c r="J120" s="482" t="str">
        <f>$F$6</f>
        <v>Þús. tonn CO₂-íg.</v>
      </c>
      <c r="K120" s="483" t="s">
        <v>4</v>
      </c>
      <c r="M120" s="1161"/>
      <c r="N120" s="482" t="str">
        <f>$F$6</f>
        <v>Þús. tonn CO₂-íg.</v>
      </c>
      <c r="O120" s="482" t="s">
        <v>4</v>
      </c>
      <c r="P120" s="217"/>
      <c r="Q120" s="218"/>
      <c r="R120" s="217"/>
      <c r="S120" s="217"/>
      <c r="T120" s="224"/>
      <c r="AH120" s="1161"/>
      <c r="AI120" s="565" t="str">
        <f>$AI$6</f>
        <v>Thousand tons CO₂e</v>
      </c>
      <c r="AJ120" s="484" t="s">
        <v>4</v>
      </c>
      <c r="AK120" s="565" t="str">
        <f>$AI$6</f>
        <v>Thousand tons CO₂e</v>
      </c>
      <c r="AL120" s="484" t="s">
        <v>4</v>
      </c>
      <c r="AM120" s="565" t="str">
        <f>$AI$6</f>
        <v>Thousand tons CO₂e</v>
      </c>
      <c r="AN120" s="483" t="s">
        <v>4</v>
      </c>
      <c r="AP120" s="1161"/>
      <c r="AQ120" s="482" t="str">
        <f>$AI$6</f>
        <v>Thousand tons CO₂e</v>
      </c>
      <c r="AR120" s="482" t="s">
        <v>4</v>
      </c>
    </row>
    <row r="121" spans="1:44" ht="21" customHeight="1" thickTop="1" x14ac:dyDescent="0.4">
      <c r="A121" s="1112" t="s">
        <v>370</v>
      </c>
      <c r="B121" s="1112" t="s">
        <v>374</v>
      </c>
      <c r="C121" s="1098" t="s">
        <v>378</v>
      </c>
      <c r="D121" s="39" t="s">
        <v>48</v>
      </c>
      <c r="E121" s="489" t="s">
        <v>35</v>
      </c>
      <c r="F121" s="490" cm="1">
        <f t="array" ref="F121">INDEX('Talnagögn | Numerical Data'!$1:$1048576, _xlfn.XMATCH($A121,'Talnagögn | Numerical Data'!$B:$B), _xlfn.XMATCH($A$1,'Talnagögn | Numerical Data'!$1:$1))</f>
        <v>1832.2924324621736</v>
      </c>
      <c r="G121" s="491">
        <f>$F121/$F$125</f>
        <v>0.63979781396477442</v>
      </c>
      <c r="H121" s="490" cm="1">
        <f t="array" ref="H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_xlfn.XMATCH($A$4,'Talnagögn | Numerical Data'!$1:$1))</f>
        <v>85.608067874395829</v>
      </c>
      <c r="I121" s="492" cm="1">
        <f t="array" ref="I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_xlfn.XMATCH($A$4,'Talnagögn | Numerical Data'!$1:$1))-1</f>
        <v>4.901175599324703E-2</v>
      </c>
      <c r="J121" s="490" cm="1">
        <f t="array" ref="J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_xlfn.XMATCH($A$3,'Talnagögn | Numerical Data'!$1:$1))</f>
        <v>-268.98899132202905</v>
      </c>
      <c r="K121" s="493" cm="1">
        <f t="array" ref="K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_xlfn.XMATCH($A$3,'Talnagögn | Numerical Data'!$1:$1))-1</f>
        <v>-0.12801188278607922</v>
      </c>
      <c r="L121" s="488"/>
      <c r="M121" s="489" t="s">
        <v>35</v>
      </c>
      <c r="N121" s="490" cm="1">
        <f t="array" ref="N121">INDEX('Talnagögn | Numerical Data'!$1:$1048576, _xlfn.XMATCH($B121,'Talnagögn | Numerical Data'!$B:$B), _xlfn.XMATCH($B$2,'Talnagögn | Numerical Data'!$1:$1))-INDEX('Talnagögn | Numerical Data'!$1:$1048576, _xlfn.XMATCH($A$121,'Talnagögn | Numerical Data'!$B:$B), _xlfn.XMATCH($A$3,'Talnagögn | Numerical Data'!$1:$1))</f>
        <v>-576.19737505791659</v>
      </c>
      <c r="O121" s="493" cm="1">
        <f t="array" ref="O121">INDEX('Talnagögn | Numerical Data'!$1:$1048576, _xlfn.XMATCH($B121,'Talnagögn | Numerical Data'!$B:$B), _xlfn.XMATCH($B$2,'Talnagögn | Numerical Data'!$1:$1))/INDEX('Talnagögn | Numerical Data'!$1:$1048576, _xlfn.XMATCH($A121,'Talnagögn | Numerical Data'!$B:$B), _xlfn.XMATCH($A$3,'Talnagögn | Numerical Data'!$1:$1))-1</f>
        <v>-0.27421237752163696</v>
      </c>
      <c r="P121" s="222"/>
      <c r="Q121" s="222"/>
      <c r="R121" s="222"/>
      <c r="S121" s="222"/>
      <c r="T121" s="224"/>
      <c r="AH121" s="489" t="s">
        <v>169</v>
      </c>
      <c r="AI121" s="490" cm="1">
        <f t="array" ref="AI121">INDEX('Talnagögn | Numerical Data'!$1:$1048576, _xlfn.XMATCH($A121,'Talnagögn | Numerical Data'!$B:$B), _xlfn.XMATCH($A$1,'Talnagögn | Numerical Data'!$1:$1))</f>
        <v>1832.2924324621736</v>
      </c>
      <c r="AJ121" s="491">
        <f>$F121/$F$125</f>
        <v>0.63979781396477442</v>
      </c>
      <c r="AK121" s="490" cm="1">
        <f t="array" ref="AK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_xlfn.XMATCH($A$4,'Talnagögn | Numerical Data'!$1:$1))</f>
        <v>85.608067874395829</v>
      </c>
      <c r="AL121" s="492" cm="1">
        <f t="array" ref="AL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_xlfn.XMATCH($A$4,'Talnagögn | Numerical Data'!$1:$1))-1</f>
        <v>4.901175599324703E-2</v>
      </c>
      <c r="AM121" s="490" cm="1">
        <f t="array" ref="AM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_xlfn.XMATCH($A$3,'Talnagögn | Numerical Data'!$1:$1))</f>
        <v>-268.98899132202905</v>
      </c>
      <c r="AN121" s="493" cm="1">
        <f t="array" ref="AN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_xlfn.XMATCH($A$3,'Talnagögn | Numerical Data'!$1:$1))-1</f>
        <v>-0.12801188278607922</v>
      </c>
      <c r="AO121" s="488"/>
      <c r="AP121" s="489" t="s">
        <v>169</v>
      </c>
      <c r="AQ121" s="490" cm="1">
        <f t="array" ref="AQ121">INDEX('Talnagögn | Numerical Data'!$1:$1048576, _xlfn.XMATCH($B121,'Talnagögn | Numerical Data'!$B:$B), _xlfn.XMATCH($B$2,'Talnagögn | Numerical Data'!$1:$1))-INDEX('Talnagögn | Numerical Data'!$1:$1048576, _xlfn.XMATCH($A$121,'Talnagögn | Numerical Data'!$B:$B), _xlfn.XMATCH($A$3,'Talnagögn | Numerical Data'!$1:$1))</f>
        <v>-576.19737505791659</v>
      </c>
      <c r="AR121" s="493" cm="1">
        <f t="array" ref="AR121">INDEX('Talnagögn | Numerical Data'!$1:$1048576, _xlfn.XMATCH($B121,'Talnagögn | Numerical Data'!$B:$B), _xlfn.XMATCH($B$2,'Talnagögn | Numerical Data'!$1:$1))/INDEX('Talnagögn | Numerical Data'!$1:$1048576, _xlfn.XMATCH($A121,'Talnagögn | Numerical Data'!$B:$B), _xlfn.XMATCH($A$3,'Talnagögn | Numerical Data'!$1:$1))-1</f>
        <v>-0.27421237752163696</v>
      </c>
    </row>
    <row r="122" spans="1:44" ht="21" customHeight="1" x14ac:dyDescent="0.4">
      <c r="A122" s="1112" t="s">
        <v>371</v>
      </c>
      <c r="B122" s="1112" t="s">
        <v>375</v>
      </c>
      <c r="C122" s="1098" t="s">
        <v>379</v>
      </c>
      <c r="D122" s="39" t="s">
        <v>48</v>
      </c>
      <c r="E122" s="494" t="s">
        <v>36</v>
      </c>
      <c r="F122" s="490" cm="1">
        <f t="array" ref="F122">INDEX('Talnagögn | Numerical Data'!$1:$1048576, _xlfn.XMATCH($A122,'Talnagögn | Numerical Data'!$B:$B), _xlfn.XMATCH($A$1,'Talnagögn | Numerical Data'!$1:$1))</f>
        <v>123.6716524789606</v>
      </c>
      <c r="G122" s="495">
        <f>$F122/$F$125</f>
        <v>4.3183528733524768E-2</v>
      </c>
      <c r="H122" s="490" cm="1">
        <f t="array" ref="H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_xlfn.XMATCH($A$4,'Talnagögn | Numerical Data'!$1:$1))</f>
        <v>-15.23013868266662</v>
      </c>
      <c r="I122" s="498" cm="1">
        <f t="array" ref="I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_xlfn.XMATCH($A$4,'Talnagögn | Numerical Data'!$1:$1))-1</f>
        <v>-0.10964681272500443</v>
      </c>
      <c r="J122" s="496" cm="1">
        <f t="array" ref="J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_xlfn.XMATCH($A$3,'Talnagögn | Numerical Data'!$1:$1))</f>
        <v>-4.5550929805236819</v>
      </c>
      <c r="K122" s="497" cm="1">
        <f t="array" ref="K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_xlfn.XMATCH($A$3,'Talnagögn | Numerical Data'!$1:$1))-1</f>
        <v>-3.5523735428214187E-2</v>
      </c>
      <c r="L122" s="488"/>
      <c r="M122" s="494" t="s">
        <v>36</v>
      </c>
      <c r="N122" s="490" cm="1">
        <f t="array" ref="N122">INDEX('Talnagögn | Numerical Data'!$1:$1048576, _xlfn.XMATCH($B122,'Talnagögn | Numerical Data'!$B:$B), _xlfn.XMATCH($B$2,'Talnagögn | Numerical Data'!$1:$1))-INDEX('Talnagögn | Numerical Data'!$1:$1048576, _xlfn.XMATCH($A$122,'Talnagögn | Numerical Data'!$B:$B), _xlfn.XMATCH($A$3,'Talnagögn | Numerical Data'!$1:$1))</f>
        <v>-77.17864141802022</v>
      </c>
      <c r="O122" s="493" cm="1">
        <f t="array" ref="O122">INDEX('Talnagögn | Numerical Data'!$1:$1048576, _xlfn.XMATCH($B122,'Talnagögn | Numerical Data'!$B:$B), _xlfn.XMATCH($B$2,'Talnagögn | Numerical Data'!$1:$1))/INDEX('Talnagögn | Numerical Data'!$1:$1048576, _xlfn.XMATCH($A122,'Talnagögn | Numerical Data'!$B:$B), _xlfn.XMATCH($A$3,'Talnagögn | Numerical Data'!$1:$1))-1</f>
        <v>-0.60189191530565911</v>
      </c>
      <c r="P122" s="222"/>
      <c r="Q122" s="222"/>
      <c r="R122" s="222"/>
      <c r="S122" s="222"/>
      <c r="T122" s="224"/>
      <c r="AH122" s="494" t="s">
        <v>170</v>
      </c>
      <c r="AI122" s="490" cm="1">
        <f t="array" ref="AI122">INDEX('Talnagögn | Numerical Data'!$1:$1048576, _xlfn.XMATCH($A122,'Talnagögn | Numerical Data'!$B:$B), _xlfn.XMATCH($A$1,'Talnagögn | Numerical Data'!$1:$1))</f>
        <v>123.6716524789606</v>
      </c>
      <c r="AJ122" s="495">
        <f>$F122/$F$125</f>
        <v>4.3183528733524768E-2</v>
      </c>
      <c r="AK122" s="490" cm="1">
        <f t="array" ref="AK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_xlfn.XMATCH($A$4,'Talnagögn | Numerical Data'!$1:$1))</f>
        <v>-15.23013868266662</v>
      </c>
      <c r="AL122" s="498" cm="1">
        <f t="array" ref="AL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_xlfn.XMATCH($A$4,'Talnagögn | Numerical Data'!$1:$1))-1</f>
        <v>-0.10964681272500443</v>
      </c>
      <c r="AM122" s="496" cm="1">
        <f t="array" ref="AM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_xlfn.XMATCH($A$3,'Talnagögn | Numerical Data'!$1:$1))</f>
        <v>-4.5550929805236819</v>
      </c>
      <c r="AN122" s="497" cm="1">
        <f t="array" ref="AN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_xlfn.XMATCH($A$3,'Talnagögn | Numerical Data'!$1:$1))-1</f>
        <v>-3.5523735428214187E-2</v>
      </c>
      <c r="AO122" s="488"/>
      <c r="AP122" s="494" t="s">
        <v>170</v>
      </c>
      <c r="AQ122" s="490" cm="1">
        <f t="array" ref="AQ122">INDEX('Talnagögn | Numerical Data'!$1:$1048576, _xlfn.XMATCH($B122,'Talnagögn | Numerical Data'!$B:$B), _xlfn.XMATCH($B$2,'Talnagögn | Numerical Data'!$1:$1))-INDEX('Talnagögn | Numerical Data'!$1:$1048576, _xlfn.XMATCH($A$122,'Talnagögn | Numerical Data'!$B:$B), _xlfn.XMATCH($A$3,'Talnagögn | Numerical Data'!$1:$1))</f>
        <v>-77.17864141802022</v>
      </c>
      <c r="AR122" s="493" cm="1">
        <f t="array" ref="AR122">INDEX('Talnagögn | Numerical Data'!$1:$1048576, _xlfn.XMATCH($B122,'Talnagögn | Numerical Data'!$B:$B), _xlfn.XMATCH($B$2,'Talnagögn | Numerical Data'!$1:$1))/INDEX('Talnagögn | Numerical Data'!$1:$1048576, _xlfn.XMATCH($A122,'Talnagögn | Numerical Data'!$B:$B), _xlfn.XMATCH($A$3,'Talnagögn | Numerical Data'!$1:$1))-1</f>
        <v>-0.60189191530565911</v>
      </c>
    </row>
    <row r="123" spans="1:44" ht="21" customHeight="1" x14ac:dyDescent="0.4">
      <c r="A123" s="1112" t="s">
        <v>372</v>
      </c>
      <c r="B123" s="1112" t="s">
        <v>376</v>
      </c>
      <c r="C123" s="1098" t="s">
        <v>380</v>
      </c>
      <c r="D123" s="39" t="s">
        <v>48</v>
      </c>
      <c r="E123" s="494" t="s">
        <v>2</v>
      </c>
      <c r="F123" s="490" cm="1">
        <f t="array" ref="F123">INDEX('Talnagögn | Numerical Data'!$1:$1048576, _xlfn.XMATCH($A123,'Talnagögn | Numerical Data'!$B:$B), _xlfn.XMATCH($A$1,'Talnagögn | Numerical Data'!$1:$1))</f>
        <v>669.59914464131464</v>
      </c>
      <c r="G123" s="498">
        <f>$F123/$F$125</f>
        <v>0.23380987738868483</v>
      </c>
      <c r="H123" s="496" cm="1">
        <f t="array" ref="H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_xlfn.XMATCH($A$4,'Talnagögn | Numerical Data'!$1:$1))</f>
        <v>-6.0262763072659027</v>
      </c>
      <c r="I123" s="1029" cm="1">
        <f t="array" ref="I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_xlfn.XMATCH($A$4,'Talnagögn | Numerical Data'!$1:$1))-1</f>
        <v>-8.9195523442634483E-3</v>
      </c>
      <c r="J123" s="496" cm="1">
        <f t="array" ref="J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_xlfn.XMATCH($A$3,'Talnagögn | Numerical Data'!$1:$1))</f>
        <v>-6.7570985142256177</v>
      </c>
      <c r="K123" s="497" cm="1">
        <f t="array" ref="K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_xlfn.XMATCH($A$3,'Talnagögn | Numerical Data'!$1:$1))-1</f>
        <v>-9.9904430285145951E-3</v>
      </c>
      <c r="L123" s="488"/>
      <c r="M123" s="494" t="s">
        <v>2</v>
      </c>
      <c r="N123" s="496" cm="1">
        <f t="array" ref="N123">INDEX('Talnagögn | Numerical Data'!$1:$1048576, _xlfn.XMATCH($B123,'Talnagögn | Numerical Data'!$B:$B), _xlfn.XMATCH($B$2,'Talnagögn | Numerical Data'!$1:$1))-INDEX('Talnagögn | Numerical Data'!$1:$1048576, _xlfn.XMATCH($A$123,'Talnagögn | Numerical Data'!$B:$B), _xlfn.XMATCH($A$3,'Talnagögn | Numerical Data'!$1:$1))</f>
        <v>-6.2097456645392413</v>
      </c>
      <c r="O123" s="1089" cm="1">
        <f t="array" ref="O123">INDEX('Talnagögn | Numerical Data'!$1:$1048576, _xlfn.XMATCH($B123,'Talnagögn | Numerical Data'!$B:$B), _xlfn.XMATCH($B$2,'Talnagögn | Numerical Data'!$1:$1))/INDEX('Talnagögn | Numerical Data'!$1:$1048576, _xlfn.XMATCH($A123,'Talnagögn | Numerical Data'!$B:$B), _xlfn.XMATCH($A$3,'Talnagögn | Numerical Data'!$1:$1))-1</f>
        <v>-9.1811759370589163E-3</v>
      </c>
      <c r="P123" s="222"/>
      <c r="Q123" s="222"/>
      <c r="R123" s="222"/>
      <c r="S123" s="222"/>
      <c r="T123" s="224"/>
      <c r="AH123" s="494" t="s">
        <v>126</v>
      </c>
      <c r="AI123" s="490" cm="1">
        <f t="array" ref="AI123">INDEX('Talnagögn | Numerical Data'!$1:$1048576, _xlfn.XMATCH($A123,'Talnagögn | Numerical Data'!$B:$B), _xlfn.XMATCH($A$1,'Talnagögn | Numerical Data'!$1:$1))</f>
        <v>669.59914464131464</v>
      </c>
      <c r="AJ123" s="498">
        <f>$F123/$F$125</f>
        <v>0.23380987738868483</v>
      </c>
      <c r="AK123" s="496" cm="1">
        <f t="array" ref="AK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_xlfn.XMATCH($A$4,'Talnagögn | Numerical Data'!$1:$1))</f>
        <v>-6.0262763072659027</v>
      </c>
      <c r="AL123" s="1029" cm="1">
        <f t="array" ref="AL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_xlfn.XMATCH($A$4,'Talnagögn | Numerical Data'!$1:$1))-1</f>
        <v>-8.9195523442634483E-3</v>
      </c>
      <c r="AM123" s="496" cm="1">
        <f t="array" ref="AM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_xlfn.XMATCH($A$3,'Talnagögn | Numerical Data'!$1:$1))</f>
        <v>-6.7570985142256177</v>
      </c>
      <c r="AN123" s="497" cm="1">
        <f t="array" ref="AN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_xlfn.XMATCH($A$3,'Talnagögn | Numerical Data'!$1:$1))-1</f>
        <v>-9.9904430285145951E-3</v>
      </c>
      <c r="AO123" s="488"/>
      <c r="AP123" s="494" t="s">
        <v>126</v>
      </c>
      <c r="AQ123" s="496" cm="1">
        <f t="array" ref="AQ123">INDEX('Talnagögn | Numerical Data'!$1:$1048576, _xlfn.XMATCH($B123,'Talnagögn | Numerical Data'!$B:$B), _xlfn.XMATCH($B$2,'Talnagögn | Numerical Data'!$1:$1))-INDEX('Talnagögn | Numerical Data'!$1:$1048576, _xlfn.XMATCH($A$123,'Talnagögn | Numerical Data'!$B:$B), _xlfn.XMATCH($A$3,'Talnagögn | Numerical Data'!$1:$1))</f>
        <v>-6.2097456645392413</v>
      </c>
      <c r="AR123" s="1089" cm="1">
        <f t="array" ref="AR123">INDEX('Talnagögn | Numerical Data'!$1:$1048576, _xlfn.XMATCH($B123,'Talnagögn | Numerical Data'!$B:$B), _xlfn.XMATCH($B$2,'Talnagögn | Numerical Data'!$1:$1))/INDEX('Talnagögn | Numerical Data'!$1:$1048576, _xlfn.XMATCH($A123,'Talnagögn | Numerical Data'!$B:$B), _xlfn.XMATCH($A$3,'Talnagögn | Numerical Data'!$1:$1))-1</f>
        <v>-9.1811759370589163E-3</v>
      </c>
    </row>
    <row r="124" spans="1:44" ht="21" customHeight="1" x14ac:dyDescent="0.4">
      <c r="A124" s="1112" t="s">
        <v>373</v>
      </c>
      <c r="B124" s="1112" t="s">
        <v>377</v>
      </c>
      <c r="C124" s="1098" t="s">
        <v>381</v>
      </c>
      <c r="D124" s="39" t="s">
        <v>48</v>
      </c>
      <c r="E124" s="499" t="s">
        <v>1</v>
      </c>
      <c r="F124" s="500" cm="1">
        <f t="array" ref="F124">INDEX('Talnagögn | Numerical Data'!$1:$1048576, _xlfn.XMATCH($A124,'Talnagögn | Numerical Data'!$B:$B), _xlfn.XMATCH($A$1,'Talnagögn | Numerical Data'!$1:$1))</f>
        <v>238.29994109170406</v>
      </c>
      <c r="G124" s="501">
        <f>$F124/$F$125</f>
        <v>8.3209305827635277E-2</v>
      </c>
      <c r="H124" s="1028" cm="1">
        <f t="array" ref="H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_xlfn.XMATCH($A$4,'Talnagögn | Numerical Data'!$1:$1))</f>
        <v>-9.2089246649518657</v>
      </c>
      <c r="I124" s="501" cm="1">
        <f t="array" ref="I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_xlfn.XMATCH($A$4,'Talnagögn | Numerical Data'!$1:$1))-1</f>
        <v>-3.7206443643137299E-2</v>
      </c>
      <c r="J124" s="502" cm="1">
        <f t="array" ref="J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_xlfn.XMATCH($A$3,'Talnagögn | Numerical Data'!$1:$1))</f>
        <v>-71.155145258225446</v>
      </c>
      <c r="K124" s="503" cm="1">
        <f t="array" ref="K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_xlfn.XMATCH($A$3,'Talnagögn | Numerical Data'!$1:$1))-1</f>
        <v>-0.22993690650721355</v>
      </c>
      <c r="L124" s="488"/>
      <c r="M124" s="499" t="s">
        <v>1</v>
      </c>
      <c r="N124" s="500" cm="1">
        <f t="array" ref="N124">INDEX('Talnagögn | Numerical Data'!$1:$1048576, _xlfn.XMATCH($B124,'Talnagögn | Numerical Data'!$B:$B), _xlfn.XMATCH($B$2,'Talnagögn | Numerical Data'!$1:$1))-INDEX('Talnagögn | Numerical Data'!$1:$1048576, _xlfn.XMATCH($A$124,'Talnagögn | Numerical Data'!$B:$B), _xlfn.XMATCH($A$3,'Talnagögn | Numerical Data'!$1:$1))</f>
        <v>-152.43221888630947</v>
      </c>
      <c r="O124" s="503" cm="1">
        <f t="array" ref="O124">INDEX('Talnagögn | Numerical Data'!$1:$1048576, _xlfn.XMATCH($B124,'Talnagögn | Numerical Data'!$B:$B), _xlfn.XMATCH($B$2,'Talnagögn | Numerical Data'!$1:$1))/INDEX('Talnagögn | Numerical Data'!$1:$1048576, _xlfn.XMATCH($A124,'Talnagögn | Numerical Data'!$B:$B), _xlfn.XMATCH($A$3,'Talnagögn | Numerical Data'!$1:$1))-1</f>
        <v>-0.49258269005777544</v>
      </c>
      <c r="P124" s="222"/>
      <c r="Q124" s="222"/>
      <c r="R124" s="222"/>
      <c r="S124" s="222"/>
      <c r="T124" s="224"/>
      <c r="AH124" s="499" t="s">
        <v>127</v>
      </c>
      <c r="AI124" s="500" cm="1">
        <f t="array" ref="AI124">INDEX('Talnagögn | Numerical Data'!$1:$1048576, _xlfn.XMATCH($A124,'Talnagögn | Numerical Data'!$B:$B), _xlfn.XMATCH($A$1,'Talnagögn | Numerical Data'!$1:$1))</f>
        <v>238.29994109170406</v>
      </c>
      <c r="AJ124" s="501">
        <f>$F124/$F$125</f>
        <v>8.3209305827635277E-2</v>
      </c>
      <c r="AK124" s="1028" cm="1">
        <f t="array" ref="AK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_xlfn.XMATCH($A$4,'Talnagögn | Numerical Data'!$1:$1))</f>
        <v>-9.2089246649518657</v>
      </c>
      <c r="AL124" s="501" cm="1">
        <f t="array" ref="AL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_xlfn.XMATCH($A$4,'Talnagögn | Numerical Data'!$1:$1))-1</f>
        <v>-3.7206443643137299E-2</v>
      </c>
      <c r="AM124" s="502" cm="1">
        <f t="array" ref="AM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_xlfn.XMATCH($A$3,'Talnagögn | Numerical Data'!$1:$1))</f>
        <v>-71.155145258225446</v>
      </c>
      <c r="AN124" s="503" cm="1">
        <f t="array" ref="AN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_xlfn.XMATCH($A$3,'Talnagögn | Numerical Data'!$1:$1))-1</f>
        <v>-0.22993690650721355</v>
      </c>
      <c r="AO124" s="488"/>
      <c r="AP124" s="499" t="s">
        <v>127</v>
      </c>
      <c r="AQ124" s="500" cm="1">
        <f t="array" ref="AQ124">INDEX('Talnagögn | Numerical Data'!$1:$1048576, _xlfn.XMATCH($B124,'Talnagögn | Numerical Data'!$B:$B), _xlfn.XMATCH($B$2,'Talnagögn | Numerical Data'!$1:$1))-INDEX('Talnagögn | Numerical Data'!$1:$1048576, _xlfn.XMATCH($A$124,'Talnagögn | Numerical Data'!$B:$B), _xlfn.XMATCH($A$3,'Talnagögn | Numerical Data'!$1:$1))</f>
        <v>-152.43221888630947</v>
      </c>
      <c r="AR124" s="503" cm="1">
        <f t="array" ref="AR124">INDEX('Talnagögn | Numerical Data'!$1:$1048576, _xlfn.XMATCH($B124,'Talnagögn | Numerical Data'!$B:$B), _xlfn.XMATCH($B$2,'Talnagögn | Numerical Data'!$1:$1))/INDEX('Talnagögn | Numerical Data'!$1:$1048576, _xlfn.XMATCH($A124,'Talnagögn | Numerical Data'!$B:$B), _xlfn.XMATCH($A$3,'Talnagögn | Numerical Data'!$1:$1))-1</f>
        <v>-0.49258269005777544</v>
      </c>
    </row>
    <row r="125" spans="1:44" s="8" customFormat="1" ht="29.1" customHeight="1" x14ac:dyDescent="0.4">
      <c r="A125" s="1112" t="s">
        <v>356</v>
      </c>
      <c r="B125" s="1112" t="s">
        <v>354</v>
      </c>
      <c r="C125" s="1099" t="s">
        <v>357</v>
      </c>
      <c r="D125" s="220" t="s">
        <v>48</v>
      </c>
      <c r="E125" s="504" t="s">
        <v>404</v>
      </c>
      <c r="F125" s="505" cm="1">
        <f t="array" ref="F125">INDEX('Talnagögn | Numerical Data'!$1:$1048576, _xlfn.XMATCH($A125,'Talnagögn | Numerical Data'!$B:$B), _xlfn.XMATCH($A$1,'Talnagögn | Numerical Data'!$1:$1))</f>
        <v>2863.861664527436</v>
      </c>
      <c r="G125" s="506">
        <f>$F125/$F$125</f>
        <v>1</v>
      </c>
      <c r="H125" s="505" cm="1">
        <f t="array" ref="H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_xlfn.XMATCH($A$4,'Talnagögn | Numerical Data'!$1:$1))</f>
        <v>55.142567579334354</v>
      </c>
      <c r="I125" s="507" cm="1">
        <f t="array" ref="I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_xlfn.XMATCH($A$4,'Talnagögn | Numerical Data'!$1:$1))-1</f>
        <v>1.9632638820753279E-2</v>
      </c>
      <c r="J125" s="508" cm="1">
        <f t="array" ref="J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_xlfn.XMATCH($A$3,'Talnagögn | Numerical Data'!$1:$1))</f>
        <v>-351.45783422172008</v>
      </c>
      <c r="K125" s="509" cm="1">
        <f t="array" ref="K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_xlfn.XMATCH($A$3,'Talnagögn | Numerical Data'!$1:$1))-1</f>
        <v>-0.10930728170511406</v>
      </c>
      <c r="L125" s="488"/>
      <c r="M125" s="504" t="s">
        <v>404</v>
      </c>
      <c r="N125" s="505" cm="1">
        <f t="array" ref="N125">INDEX('Talnagögn | Numerical Data'!$1:$1048576, _xlfn.XMATCH($B125,'Talnagögn | Numerical Data'!$B:$B), _xlfn.XMATCH($B$2,'Talnagögn | Numerical Data'!$1:$1))-INDEX('Talnagögn | Numerical Data'!$1:$1048576, _xlfn.XMATCH($A$125,'Talnagögn | Numerical Data'!$B:$B), _xlfn.XMATCH($A$3,'Talnagögn | Numerical Data'!$1:$1))</f>
        <v>-812.01798102678458</v>
      </c>
      <c r="O125" s="509" cm="1">
        <f t="array" ref="O125">INDEX('Talnagögn | Numerical Data'!$1:$1048576, _xlfn.XMATCH($B125,'Talnagögn | Numerical Data'!$B:$B), _xlfn.XMATCH($B$2,'Talnagögn | Numerical Data'!$1:$1))/INDEX('Talnagögn | Numerical Data'!$1:$1048576, _xlfn.XMATCH($A125,'Talnagögn | Numerical Data'!$B:$B), _xlfn.XMATCH($A$3,'Talnagögn | Numerical Data'!$1:$1))-1</f>
        <v>-0.25254659182164663</v>
      </c>
      <c r="P125" s="222"/>
      <c r="Q125" s="222"/>
      <c r="R125" s="222"/>
      <c r="S125" s="222"/>
      <c r="T125" s="224"/>
      <c r="AF125" s="239"/>
      <c r="AH125" s="504" t="s">
        <v>254</v>
      </c>
      <c r="AI125" s="505" cm="1">
        <f t="array" ref="AI125">INDEX('Talnagögn | Numerical Data'!$1:$1048576, _xlfn.XMATCH($A125,'Talnagögn | Numerical Data'!$B:$B), _xlfn.XMATCH($A$1,'Talnagögn | Numerical Data'!$1:$1))</f>
        <v>2863.861664527436</v>
      </c>
      <c r="AJ125" s="506">
        <f>$F125/$F$125</f>
        <v>1</v>
      </c>
      <c r="AK125" s="505" cm="1">
        <f t="array" ref="AK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_xlfn.XMATCH($A$4,'Talnagögn | Numerical Data'!$1:$1))</f>
        <v>55.142567579334354</v>
      </c>
      <c r="AL125" s="507" cm="1">
        <f t="array" ref="AL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_xlfn.XMATCH($A$4,'Talnagögn | Numerical Data'!$1:$1))-1</f>
        <v>1.9632638820753279E-2</v>
      </c>
      <c r="AM125" s="508" cm="1">
        <f t="array" ref="AM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_xlfn.XMATCH($A$3,'Talnagögn | Numerical Data'!$1:$1))</f>
        <v>-351.45783422172008</v>
      </c>
      <c r="AN125" s="509" cm="1">
        <f t="array" ref="AN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_xlfn.XMATCH($A$3,'Talnagögn | Numerical Data'!$1:$1))-1</f>
        <v>-0.10930728170511406</v>
      </c>
      <c r="AO125" s="488"/>
      <c r="AP125" s="504" t="s">
        <v>254</v>
      </c>
      <c r="AQ125" s="505" cm="1">
        <f t="array" ref="AQ125">INDEX('Talnagögn | Numerical Data'!$1:$1048576, _xlfn.XMATCH($B125,'Talnagögn | Numerical Data'!$B:$B), _xlfn.XMATCH($B$2,'Talnagögn | Numerical Data'!$1:$1))-INDEX('Talnagögn | Numerical Data'!$1:$1048576, _xlfn.XMATCH($A$125,'Talnagögn | Numerical Data'!$B:$B), _xlfn.XMATCH($A$3,'Talnagögn | Numerical Data'!$1:$1))</f>
        <v>-812.01798102678458</v>
      </c>
      <c r="AR125" s="509" cm="1">
        <f t="array" ref="AR125">INDEX('Talnagögn | Numerical Data'!$1:$1048576, _xlfn.XMATCH($B125,'Talnagögn | Numerical Data'!$B:$B), _xlfn.XMATCH($B$2,'Talnagögn | Numerical Data'!$1:$1))/INDEX('Talnagögn | Numerical Data'!$1:$1048576, _xlfn.XMATCH($A125,'Talnagögn | Numerical Data'!$B:$B), _xlfn.XMATCH($A$3,'Talnagögn | Numerical Data'!$1:$1))-1</f>
        <v>-0.25254659182164663</v>
      </c>
    </row>
    <row r="126" spans="1:44" s="8" customFormat="1" ht="29.25" customHeight="1" x14ac:dyDescent="0.4">
      <c r="A126" s="1035" t="s">
        <v>95</v>
      </c>
      <c r="B126" s="1123"/>
      <c r="C126" s="1099"/>
      <c r="D126" s="220"/>
      <c r="E126" s="510" t="s">
        <v>405</v>
      </c>
      <c r="F126" s="511" t="s">
        <v>261</v>
      </c>
      <c r="G126" s="512" t="s">
        <v>214</v>
      </c>
      <c r="H126" s="502" t="s">
        <v>214</v>
      </c>
      <c r="I126" s="512" t="s">
        <v>214</v>
      </c>
      <c r="J126" s="513" cm="1">
        <f t="array" ref="J126">INDEX('Talnagögn | Numerical Data'!$1:$1048576,_xlfn.XMATCH($A125,'Talnagögn | Numerical Data'!$B:$B),_xlfn.XMATCH($A$1,'Talnagögn | Numerical Data'!$1:$1))-'Talnagögn | Numerical Data'!$W$263</f>
        <v>-245.46733547256417</v>
      </c>
      <c r="K126" s="514" cm="1">
        <f t="array" ref="K126">INDEX('Talnagögn | Numerical Data'!$1:$1048576,_xlfn.XMATCH($A125,'Talnagögn | Numerical Data'!$B:$B),_xlfn.XMATCH($A$1,'Talnagögn | Numerical Data'!$1:$1))/'Talnagögn | Numerical Data'!$W$263-1</f>
        <v>-7.8945436611102981E-2</v>
      </c>
      <c r="L126" s="488"/>
      <c r="M126" s="510" t="s">
        <v>405</v>
      </c>
      <c r="N126" s="513" cm="1">
        <f t="array" ref="N126">INDEX('Talnagögn | Numerical Data'!$1:$1048576, _xlfn.XMATCH($B125,'Talnagögn | Numerical Data'!$B:$B), _xlfn.XMATCH($B$2,'Talnagögn | Numerical Data'!$1:$1))-INDEX('Talnagögn | Numerical Data'!$1:$1048576, _xlfn.XMATCH($A126,'Talnagögn | Numerical Data'!$B:$B), _xlfn.XMATCH($A$3,'Talnagögn | Numerical Data'!$1:$1))</f>
        <v>-706.02748227762868</v>
      </c>
      <c r="O126" s="523" cm="1">
        <f t="array" ref="O126">INDEX('Talnagögn | Numerical Data'!$1:$1048576, _xlfn.XMATCH($B125,'Talnagögn | Numerical Data'!$B:$B), _xlfn.XMATCH($B$2,'Talnagögn | Numerical Data'!$1:$1))/INDEX('Talnagögn | Numerical Data'!$1:$1048576, _xlfn.XMATCH($A126,'Talnagögn | Numerical Data'!$B:$B), _xlfn.XMATCH($A$3,'Talnagögn | Numerical Data'!$1:$1))-1</f>
        <v>-0.22706747413272399</v>
      </c>
      <c r="P126" s="222"/>
      <c r="Q126" s="222"/>
      <c r="R126" s="222"/>
      <c r="S126" s="222"/>
      <c r="T126" s="224"/>
      <c r="AF126" s="239"/>
      <c r="AH126" s="510" t="s">
        <v>255</v>
      </c>
      <c r="AI126" s="511" t="s">
        <v>261</v>
      </c>
      <c r="AJ126" s="512" t="s">
        <v>214</v>
      </c>
      <c r="AK126" s="502" t="s">
        <v>214</v>
      </c>
      <c r="AL126" s="512" t="s">
        <v>214</v>
      </c>
      <c r="AM126" s="513" cm="1">
        <f t="array" ref="AM126">INDEX('Talnagögn | Numerical Data'!$1:$1048576,_xlfn.XMATCH($A125,'Talnagögn | Numerical Data'!$B:$B),_xlfn.XMATCH($A$1,'Talnagögn | Numerical Data'!$1:$1))-'Talnagögn | Numerical Data'!$W$263</f>
        <v>-245.46733547256417</v>
      </c>
      <c r="AN126" s="514" cm="1">
        <f t="array" ref="AN126">INDEX('Talnagögn | Numerical Data'!$1:$1048576,_xlfn.XMATCH($A125,'Talnagögn | Numerical Data'!$B:$B),_xlfn.XMATCH($A$1,'Talnagögn | Numerical Data'!$1:$1))/'Talnagögn | Numerical Data'!$W$263-1</f>
        <v>-7.8945436611102981E-2</v>
      </c>
      <c r="AO126" s="488"/>
      <c r="AP126" s="510" t="s">
        <v>255</v>
      </c>
      <c r="AQ126" s="513" cm="1">
        <f t="array" ref="AQ126">INDEX('Talnagögn | Numerical Data'!$1:$1048576, _xlfn.XMATCH($B125,'Talnagögn | Numerical Data'!$B:$B), _xlfn.XMATCH($B$2,'Talnagögn | Numerical Data'!$1:$1))-INDEX('Talnagögn | Numerical Data'!$1:$1048576, _xlfn.XMATCH($A126,'Talnagögn | Numerical Data'!$B:$B), _xlfn.XMATCH($A$3,'Talnagögn | Numerical Data'!$1:$1))</f>
        <v>-706.02748227762868</v>
      </c>
      <c r="AR126" s="523" cm="1">
        <f t="array" ref="AR126">INDEX('Talnagögn | Numerical Data'!$1:$1048576, _xlfn.XMATCH($B125,'Talnagögn | Numerical Data'!$B:$B), _xlfn.XMATCH($B$2,'Talnagögn | Numerical Data'!$1:$1))/INDEX('Talnagögn | Numerical Data'!$1:$1048576, _xlfn.XMATCH($A126,'Talnagögn | Numerical Data'!$B:$B), _xlfn.XMATCH($A$3,'Talnagögn | Numerical Data'!$1:$1))-1</f>
        <v>-0.22706747413272399</v>
      </c>
    </row>
    <row r="127" spans="1:44" x14ac:dyDescent="0.4">
      <c r="B127" s="1112"/>
      <c r="E127" s="515" t="s">
        <v>406</v>
      </c>
      <c r="F127" s="229"/>
      <c r="G127" s="135"/>
      <c r="H127" s="8"/>
      <c r="I127" s="217"/>
      <c r="J127" s="217"/>
      <c r="K127" s="221"/>
      <c r="L127" s="221"/>
      <c r="M127" s="221"/>
      <c r="N127" s="222"/>
      <c r="O127" s="222"/>
      <c r="P127" s="222"/>
      <c r="Q127" s="221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3"/>
      <c r="AG127" s="224"/>
      <c r="AH127" s="226" t="s">
        <v>256</v>
      </c>
      <c r="AI127" s="229"/>
      <c r="AJ127" s="135"/>
      <c r="AK127" s="240"/>
      <c r="AL127" s="217"/>
      <c r="AM127" s="217"/>
      <c r="AN127" s="221"/>
      <c r="AO127" s="225"/>
      <c r="AP127" s="221"/>
    </row>
    <row r="128" spans="1:44" x14ac:dyDescent="0.4">
      <c r="B128" s="1112"/>
      <c r="E128" s="515" t="s">
        <v>407</v>
      </c>
      <c r="F128" s="229"/>
      <c r="G128" s="135"/>
      <c r="H128" s="8"/>
      <c r="I128" s="217"/>
      <c r="J128" s="217"/>
      <c r="K128" s="221"/>
      <c r="L128" s="221"/>
      <c r="M128" s="221"/>
      <c r="N128" s="222"/>
      <c r="O128" s="222"/>
      <c r="P128" s="222"/>
      <c r="Q128" s="221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3"/>
      <c r="AG128" s="224"/>
      <c r="AH128" s="226" t="s">
        <v>257</v>
      </c>
      <c r="AI128" s="229"/>
      <c r="AJ128" s="135"/>
      <c r="AK128" s="240"/>
      <c r="AL128" s="217"/>
      <c r="AM128" s="217"/>
      <c r="AN128" s="221"/>
      <c r="AO128" s="225"/>
      <c r="AP128" s="221"/>
    </row>
    <row r="129" spans="1:44" x14ac:dyDescent="0.4">
      <c r="B129" s="1112"/>
      <c r="E129" s="515" t="s">
        <v>408</v>
      </c>
      <c r="F129" s="229"/>
      <c r="G129" s="135"/>
      <c r="H129" s="8"/>
      <c r="I129" s="217"/>
      <c r="J129" s="217"/>
      <c r="K129" s="221"/>
      <c r="L129" s="221"/>
      <c r="M129" s="221"/>
      <c r="N129" s="222"/>
      <c r="O129" s="222"/>
      <c r="P129" s="222"/>
      <c r="Q129" s="221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3"/>
      <c r="AG129" s="224"/>
      <c r="AH129" s="226" t="s">
        <v>171</v>
      </c>
      <c r="AI129" s="229"/>
      <c r="AJ129" s="135"/>
      <c r="AK129" s="240"/>
      <c r="AL129" s="217"/>
      <c r="AM129" s="217"/>
      <c r="AN129" s="221"/>
      <c r="AO129" s="225"/>
      <c r="AP129" s="221"/>
    </row>
    <row r="130" spans="1:44" x14ac:dyDescent="0.4">
      <c r="B130" s="1112"/>
      <c r="AO130" s="225"/>
    </row>
    <row r="131" spans="1:44" ht="36.6" customHeight="1" x14ac:dyDescent="0.55000000000000004">
      <c r="A131" s="1117"/>
      <c r="E131" s="1133" t="s">
        <v>459</v>
      </c>
      <c r="AH131" s="1133" t="s">
        <v>461</v>
      </c>
      <c r="AI131" s="518"/>
      <c r="AJ131" s="518"/>
      <c r="AK131" s="518"/>
      <c r="AL131" s="518"/>
      <c r="AM131" s="518"/>
      <c r="AN131" s="518"/>
      <c r="AO131" s="225"/>
      <c r="AP131" s="518"/>
      <c r="AQ131" s="518"/>
      <c r="AR131" s="518"/>
    </row>
    <row r="132" spans="1:44" ht="37.799999999999997" customHeight="1" x14ac:dyDescent="0.4">
      <c r="C132" s="1098" t="s">
        <v>48</v>
      </c>
      <c r="E132" s="1160" t="str">
        <f>"STAÐAN ÁRIÐ "&amp;$A$1</f>
        <v>STAÐAN ÁRIÐ 2024</v>
      </c>
      <c r="F132" s="1163"/>
      <c r="G132" s="1163"/>
      <c r="H132" s="1163"/>
      <c r="I132" s="1163"/>
      <c r="J132" s="1163"/>
      <c r="K132" s="1164"/>
      <c r="M132" s="1160" t="s">
        <v>403</v>
      </c>
      <c r="N132" s="1162" t="str">
        <f>$N$4</f>
        <v>Áætluð breyting í losun milli 2005 og 2030</v>
      </c>
      <c r="O132" s="1163"/>
      <c r="AH132" s="1160" t="str">
        <f>$A$1&amp;" EMISSIONS"</f>
        <v>2024 EMISSIONS</v>
      </c>
      <c r="AI132" s="1196"/>
      <c r="AJ132" s="1163"/>
      <c r="AK132" s="1163"/>
      <c r="AL132" s="1163"/>
      <c r="AM132" s="1163"/>
      <c r="AN132" s="1164"/>
      <c r="AP132" s="1160" t="s">
        <v>402</v>
      </c>
      <c r="AQ132" s="1162" t="str">
        <f>$AQ$4</f>
        <v>Estimated change in emissions between 2005 and 2030</v>
      </c>
      <c r="AR132" s="1163"/>
    </row>
    <row r="133" spans="1:44" ht="30" customHeight="1" x14ac:dyDescent="0.4">
      <c r="A133" s="1117"/>
      <c r="E133" s="1160"/>
      <c r="F133" s="1175" t="str">
        <f>$F$5</f>
        <v>Losun 2024</v>
      </c>
      <c r="G133" s="1176"/>
      <c r="H133" s="1177" t="str">
        <f>$H$5</f>
        <v>Breyting frá 2023</v>
      </c>
      <c r="I133" s="1176"/>
      <c r="J133" s="1177" t="str">
        <f>$J$5</f>
        <v>Breyting frá 2005</v>
      </c>
      <c r="K133" s="1178"/>
      <c r="M133" s="1160"/>
      <c r="N133" s="1165" t="str">
        <f>$N$5</f>
        <v>Sviðsmynd með núgildandi aðgerðum</v>
      </c>
      <c r="O133" s="1166"/>
      <c r="P133" s="217"/>
      <c r="Q133" s="218"/>
      <c r="R133" s="217"/>
      <c r="S133" s="217"/>
      <c r="T133" s="224"/>
      <c r="AH133" s="1160"/>
      <c r="AI133" s="1175" t="str">
        <f>$AI$5</f>
        <v>Emissions in 2024</v>
      </c>
      <c r="AJ133" s="1176"/>
      <c r="AK133" s="1177" t="str">
        <f>$AK$5</f>
        <v>Change from 2023</v>
      </c>
      <c r="AL133" s="1176"/>
      <c r="AM133" s="1177" t="str">
        <f>$AM$5</f>
        <v>Change from 2005</v>
      </c>
      <c r="AN133" s="1178"/>
      <c r="AP133" s="1160"/>
      <c r="AQ133" s="1173" t="str">
        <f>$AQ$5</f>
        <v>Scenario: 
With Existing Measures</v>
      </c>
      <c r="AR133" s="1174"/>
    </row>
    <row r="134" spans="1:44" ht="30" customHeight="1" thickBot="1" x14ac:dyDescent="0.45">
      <c r="A134" s="1117"/>
      <c r="E134" s="1161"/>
      <c r="F134" s="482" t="str">
        <f>$F$6</f>
        <v>Þús. tonn CO₂-íg.</v>
      </c>
      <c r="G134" s="484" t="s">
        <v>4</v>
      </c>
      <c r="H134" s="482" t="str">
        <f>$F$6</f>
        <v>Þús. tonn CO₂-íg.</v>
      </c>
      <c r="I134" s="484" t="s">
        <v>4</v>
      </c>
      <c r="J134" s="482" t="str">
        <f>$F$6</f>
        <v>Þús. tonn CO₂-íg.</v>
      </c>
      <c r="K134" s="483" t="s">
        <v>4</v>
      </c>
      <c r="M134" s="1161"/>
      <c r="N134" s="482" t="str">
        <f>$F$6</f>
        <v>Þús. tonn CO₂-íg.</v>
      </c>
      <c r="O134" s="482" t="s">
        <v>4</v>
      </c>
      <c r="P134" s="217"/>
      <c r="Q134" s="218"/>
      <c r="R134" s="217"/>
      <c r="S134" s="217"/>
      <c r="T134" s="224"/>
      <c r="AH134" s="1161"/>
      <c r="AI134" s="565" t="str">
        <f>$AI$6</f>
        <v>Thousand tons CO₂e</v>
      </c>
      <c r="AJ134" s="484" t="s">
        <v>4</v>
      </c>
      <c r="AK134" s="565" t="str">
        <f>$AI$6</f>
        <v>Thousand tons CO₂e</v>
      </c>
      <c r="AL134" s="484" t="s">
        <v>4</v>
      </c>
      <c r="AM134" s="565" t="str">
        <f>$AI$6</f>
        <v>Thousand tons CO₂e</v>
      </c>
      <c r="AN134" s="483" t="s">
        <v>4</v>
      </c>
      <c r="AP134" s="1161"/>
      <c r="AQ134" s="482" t="str">
        <f>$AI$6</f>
        <v>Thousand tons CO₂e</v>
      </c>
      <c r="AR134" s="482" t="s">
        <v>4</v>
      </c>
    </row>
    <row r="135" spans="1:44" ht="21" customHeight="1" thickTop="1" x14ac:dyDescent="0.4">
      <c r="A135" s="1035" t="s">
        <v>51</v>
      </c>
      <c r="B135" s="1110" t="s">
        <v>281</v>
      </c>
      <c r="C135" s="1098" t="s">
        <v>287</v>
      </c>
      <c r="D135" s="39" t="s">
        <v>48</v>
      </c>
      <c r="E135" s="524" t="str">
        <f>'Talnagögn | Numerical Data'!$D$269</f>
        <v>Vegasamgöngur</v>
      </c>
      <c r="F135" s="490" cm="1">
        <f t="array" ref="F135">INDEX('Talnagögn | Numerical Data'!$1:$1048576, _xlfn.XMATCH($A135,'Talnagögn | Numerical Data'!$A:$A), _xlfn.XMATCH($A$1,'Talnagögn | Numerical Data'!$1:$1))</f>
        <v>898.35428884904547</v>
      </c>
      <c r="G135" s="527">
        <f t="shared" ref="G135:G142" si="0">$F135/$F$143</f>
        <v>0.31368617678671185</v>
      </c>
      <c r="H135" s="496" cm="1">
        <f t="array" ref="H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_xlfn.XMATCH($A$4,'Talnagögn | Numerical Data'!$1:$1))</f>
        <v>-22.926836795488953</v>
      </c>
      <c r="I135" s="528" cm="1">
        <f t="array" ref="I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_xlfn.XMATCH($A$4,'Talnagögn | Numerical Data'!$1:$1))-1</f>
        <v>-2.4885820578869677E-2</v>
      </c>
      <c r="J135" s="490" cm="1">
        <f t="array" ref="J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_xlfn.XMATCH($A$3,'Talnagögn | Numerical Data'!$1:$1))</f>
        <v>123.36711209011344</v>
      </c>
      <c r="K135" s="493" cm="1">
        <f t="array" ref="K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_xlfn.XMATCH($A$3,'Talnagögn | Numerical Data'!$1:$1))-1</f>
        <v>0.1591860043491895</v>
      </c>
      <c r="M135" s="524" t="str">
        <f>'Talnagögn | Numerical Data'!$D$269</f>
        <v>Vegasamgöngur</v>
      </c>
      <c r="N135" s="490" cm="1">
        <f t="array" ref="N135">INDEX('Talnagögn | Numerical Data'!$1:$1048576, _xlfn.XMATCH($B135,'Talnagögn | Numerical Data'!$B:$B), _xlfn.XMATCH($B$2,'Talnagögn | Numerical Data'!$1:$1))-INDEX('Talnagögn | Numerical Data'!$1:$1048576, _xlfn.XMATCH($A135,'Talnagögn | Numerical Data'!$B:$B), _xlfn.XMATCH($A$3,'Talnagögn | Numerical Data'!$1:$1))</f>
        <v>37.352288864814909</v>
      </c>
      <c r="O135" s="1090" cm="1">
        <f t="array" ref="O135">INDEX('Talnagögn | Numerical Data'!$1:$1048576, _xlfn.XMATCH($B135,'Talnagögn | Numerical Data'!$B:$B), _xlfn.XMATCH($B$2,'Talnagögn | Numerical Data'!$1:$1))/INDEX('Talnagögn | Numerical Data'!$1:$1048576, _xlfn.XMATCH($A135,'Talnagögn | Numerical Data'!$B:$B), _xlfn.XMATCH($A$3,'Talnagögn | Numerical Data'!$1:$1))-1</f>
        <v>4.8197299239228331E-2</v>
      </c>
      <c r="P135" s="222"/>
      <c r="Q135" s="222"/>
      <c r="R135" s="222"/>
      <c r="S135" s="222"/>
      <c r="T135" s="224"/>
      <c r="AH135" s="524" t="s">
        <v>173</v>
      </c>
      <c r="AI135" s="490" cm="1">
        <f t="array" ref="AI135">INDEX('Talnagögn | Numerical Data'!$1:$1048576, _xlfn.XMATCH($A135,'Talnagögn | Numerical Data'!$A:$A), _xlfn.XMATCH($A$1,'Talnagögn | Numerical Data'!$1:$1))</f>
        <v>898.35428884904547</v>
      </c>
      <c r="AJ135" s="527">
        <f t="shared" ref="AJ135:AJ142" si="1">$F135/$F$143</f>
        <v>0.31368617678671185</v>
      </c>
      <c r="AK135" s="496" cm="1">
        <f t="array" ref="AK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_xlfn.XMATCH($A$4,'Talnagögn | Numerical Data'!$1:$1))</f>
        <v>-22.926836795488953</v>
      </c>
      <c r="AL135" s="528" cm="1">
        <f t="array" ref="AL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_xlfn.XMATCH($A$4,'Talnagögn | Numerical Data'!$1:$1))-1</f>
        <v>-2.4885820578869677E-2</v>
      </c>
      <c r="AM135" s="490" cm="1">
        <f t="array" ref="AM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_xlfn.XMATCH($A$3,'Talnagögn | Numerical Data'!$1:$1))</f>
        <v>123.36711209011344</v>
      </c>
      <c r="AN135" s="493" cm="1">
        <f t="array" ref="AN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_xlfn.XMATCH($A$3,'Talnagögn | Numerical Data'!$1:$1))-1</f>
        <v>0.1591860043491895</v>
      </c>
      <c r="AP135" s="524" t="s">
        <v>173</v>
      </c>
      <c r="AQ135" s="490" cm="1">
        <f t="array" ref="AQ135">INDEX('Talnagögn | Numerical Data'!$1:$1048576, _xlfn.XMATCH($B135,'Talnagögn | Numerical Data'!$B:$B), _xlfn.XMATCH($B$2,'Talnagögn | Numerical Data'!$1:$1))-INDEX('Talnagögn | Numerical Data'!$1:$1048576, _xlfn.XMATCH($A135,'Talnagögn | Numerical Data'!$B:$B), _xlfn.XMATCH($A$3,'Talnagögn | Numerical Data'!$1:$1))</f>
        <v>37.352288864814909</v>
      </c>
      <c r="AR135" s="1090" cm="1">
        <f t="array" ref="AR135">INDEX('Talnagögn | Numerical Data'!$1:$1048576, _xlfn.XMATCH($B135,'Talnagögn | Numerical Data'!$B:$B), _xlfn.XMATCH($B$2,'Talnagögn | Numerical Data'!$1:$1))/INDEX('Talnagögn | Numerical Data'!$1:$1048576, _xlfn.XMATCH($A135,'Talnagögn | Numerical Data'!$B:$B), _xlfn.XMATCH($A$3,'Talnagögn | Numerical Data'!$1:$1))-1</f>
        <v>4.8197299239228331E-2</v>
      </c>
    </row>
    <row r="136" spans="1:44" ht="21" customHeight="1" x14ac:dyDescent="0.4">
      <c r="A136" s="1035" t="s">
        <v>44</v>
      </c>
      <c r="B136" s="1110" t="s">
        <v>268</v>
      </c>
      <c r="C136" s="1098" t="s">
        <v>275</v>
      </c>
      <c r="D136" s="39" t="s">
        <v>48</v>
      </c>
      <c r="E136" s="525" t="str">
        <f>'Talnagögn | Numerical Data'!$D$271</f>
        <v>Landbúnaður</v>
      </c>
      <c r="F136" s="490" cm="1">
        <f t="array" ref="F136">INDEX('Talnagögn | Numerical Data'!$1:$1048576, _xlfn.XMATCH($A136,'Talnagögn | Numerical Data'!$A:$A), _xlfn.XMATCH($A$1,'Talnagögn | Numerical Data'!$1:$1))</f>
        <v>669.59914464131464</v>
      </c>
      <c r="G136" s="519">
        <f t="shared" si="0"/>
        <v>0.23380975442471683</v>
      </c>
      <c r="H136" s="517" cm="1">
        <f t="array" ref="H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_xlfn.XMATCH($A$4,'Talnagögn | Numerical Data'!$1:$1))</f>
        <v>-6.0262763072659027</v>
      </c>
      <c r="I136" s="529" cm="1">
        <f t="array" ref="I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_xlfn.XMATCH($A$4,'Talnagögn | Numerical Data'!$1:$1))-1</f>
        <v>-8.9195523442634483E-3</v>
      </c>
      <c r="J136" s="496" cm="1">
        <f t="array" ref="J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_xlfn.XMATCH($A$3,'Talnagögn | Numerical Data'!$1:$1))</f>
        <v>-6.7570985142256177</v>
      </c>
      <c r="K136" s="497" cm="1">
        <f t="array" ref="K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_xlfn.XMATCH($A$3,'Talnagögn | Numerical Data'!$1:$1))-1</f>
        <v>-9.9904430285145951E-3</v>
      </c>
      <c r="M136" s="525" t="str">
        <f>'Talnagögn | Numerical Data'!$D$271</f>
        <v>Landbúnaður</v>
      </c>
      <c r="N136" s="517" cm="1">
        <f t="array" ref="N136">INDEX('Talnagögn | Numerical Data'!$1:$1048576, _xlfn.XMATCH($B136,'Talnagögn | Numerical Data'!$B:$B), _xlfn.XMATCH($B$2,'Talnagögn | Numerical Data'!$1:$1))-INDEX('Talnagögn | Numerical Data'!$1:$1048576, _xlfn.XMATCH($A136,'Talnagögn | Numerical Data'!$B:$B), _xlfn.XMATCH($A$3,'Talnagögn | Numerical Data'!$1:$1))</f>
        <v>-6.2097456645392413</v>
      </c>
      <c r="O136" s="1089" cm="1">
        <f t="array" ref="O136">INDEX('Talnagögn | Numerical Data'!$1:$1048576, _xlfn.XMATCH($B136,'Talnagögn | Numerical Data'!$B:$B), _xlfn.XMATCH($B$2,'Talnagögn | Numerical Data'!$1:$1))/INDEX('Talnagögn | Numerical Data'!$1:$1048576, _xlfn.XMATCH($A136,'Talnagögn | Numerical Data'!$B:$B), _xlfn.XMATCH($A$3,'Talnagögn | Numerical Data'!$1:$1))-1</f>
        <v>-9.1811759370589163E-3</v>
      </c>
      <c r="P136" s="222"/>
      <c r="Q136" s="222"/>
      <c r="R136" s="222"/>
      <c r="S136" s="222"/>
      <c r="T136" s="224"/>
      <c r="AH136" s="525" t="s">
        <v>126</v>
      </c>
      <c r="AI136" s="490" cm="1">
        <f t="array" ref="AI136">INDEX('Talnagögn | Numerical Data'!$1:$1048576, _xlfn.XMATCH($A136,'Talnagögn | Numerical Data'!$A:$A), _xlfn.XMATCH($A$1,'Talnagögn | Numerical Data'!$1:$1))</f>
        <v>669.59914464131464</v>
      </c>
      <c r="AJ136" s="519">
        <f t="shared" si="1"/>
        <v>0.23380975442471683</v>
      </c>
      <c r="AK136" s="517" cm="1">
        <f t="array" ref="AK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_xlfn.XMATCH($A$4,'Talnagögn | Numerical Data'!$1:$1))</f>
        <v>-6.0262763072659027</v>
      </c>
      <c r="AL136" s="529" cm="1">
        <f t="array" ref="AL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_xlfn.XMATCH($A$4,'Talnagögn | Numerical Data'!$1:$1))-1</f>
        <v>-8.9195523442634483E-3</v>
      </c>
      <c r="AM136" s="496" cm="1">
        <f t="array" ref="AM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_xlfn.XMATCH($A$3,'Talnagögn | Numerical Data'!$1:$1))</f>
        <v>-6.7570985142256177</v>
      </c>
      <c r="AN136" s="497" cm="1">
        <f t="array" ref="AN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_xlfn.XMATCH($A$3,'Talnagögn | Numerical Data'!$1:$1))-1</f>
        <v>-9.9904430285145951E-3</v>
      </c>
      <c r="AP136" s="525" t="s">
        <v>126</v>
      </c>
      <c r="AQ136" s="517" cm="1">
        <f t="array" ref="AQ136">INDEX('Talnagögn | Numerical Data'!$1:$1048576, _xlfn.XMATCH($B136,'Talnagögn | Numerical Data'!$B:$B), _xlfn.XMATCH($B$2,'Talnagögn | Numerical Data'!$1:$1))-INDEX('Talnagögn | Numerical Data'!$1:$1048576, _xlfn.XMATCH($A136,'Talnagögn | Numerical Data'!$B:$B), _xlfn.XMATCH($A$3,'Talnagögn | Numerical Data'!$1:$1))</f>
        <v>-6.2097456645392413</v>
      </c>
      <c r="AR136" s="1089" cm="1">
        <f t="array" ref="AR136">INDEX('Talnagögn | Numerical Data'!$1:$1048576, _xlfn.XMATCH($B136,'Talnagögn | Numerical Data'!$B:$B), _xlfn.XMATCH($B$2,'Talnagögn | Numerical Data'!$1:$1))/INDEX('Talnagögn | Numerical Data'!$1:$1048576, _xlfn.XMATCH($A136,'Talnagögn | Numerical Data'!$B:$B), _xlfn.XMATCH($A$3,'Talnagögn | Numerical Data'!$1:$1))-1</f>
        <v>-9.1811759370589163E-3</v>
      </c>
    </row>
    <row r="137" spans="1:44" ht="21" customHeight="1" x14ac:dyDescent="0.4">
      <c r="A137" s="1035" t="s">
        <v>50</v>
      </c>
      <c r="B137" s="1110" t="s">
        <v>280</v>
      </c>
      <c r="C137" s="1098" t="s">
        <v>286</v>
      </c>
      <c r="D137" s="39" t="s">
        <v>48</v>
      </c>
      <c r="E137" s="525" t="str">
        <f>'Talnagögn | Numerical Data'!$D$270</f>
        <v>Fiskiskip</v>
      </c>
      <c r="F137" s="490" cm="1">
        <f t="array" ref="F137">INDEX('Talnagögn | Numerical Data'!$1:$1048576, _xlfn.XMATCH($A137,'Talnagögn | Numerical Data'!$A:$A), _xlfn.XMATCH($A$1,'Talnagögn | Numerical Data'!$1:$1))</f>
        <v>519.47716734952905</v>
      </c>
      <c r="G137" s="519">
        <f t="shared" si="0"/>
        <v>0.18139035854399574</v>
      </c>
      <c r="H137" s="516" cm="1">
        <f t="array" ref="H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_xlfn.XMATCH($A$4,'Talnagögn | Numerical Data'!$1:$1))</f>
        <v>34.141952595727957</v>
      </c>
      <c r="I137" s="520" cm="1">
        <f t="array" ref="I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_xlfn.XMATCH($A$4,'Talnagögn | Numerical Data'!$1:$1))-1</f>
        <v>7.0347157094395874E-2</v>
      </c>
      <c r="J137" s="490" cm="1">
        <f t="array" ref="J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_xlfn.XMATCH($A$3,'Talnagögn | Numerical Data'!$1:$1))</f>
        <v>-222.79862960805031</v>
      </c>
      <c r="K137" s="493" cm="1">
        <f t="array" ref="K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_xlfn.XMATCH($A$3,'Talnagögn | Numerical Data'!$1:$1))-1</f>
        <v>-0.30015612865359687</v>
      </c>
      <c r="M137" s="525" t="str">
        <f>'Talnagögn | Numerical Data'!$D$270</f>
        <v>Fiskiskip</v>
      </c>
      <c r="N137" s="516" cm="1">
        <f t="array" ref="N137">INDEX('Talnagögn | Numerical Data'!$1:$1048576, _xlfn.XMATCH($B137,'Talnagögn | Numerical Data'!$B:$B), _xlfn.XMATCH($B$2,'Talnagögn | Numerical Data'!$1:$1))-INDEX('Talnagögn | Numerical Data'!$1:$1048576, _xlfn.XMATCH($A137,'Talnagögn | Numerical Data'!$B:$B), _xlfn.XMATCH($A$3,'Talnagögn | Numerical Data'!$1:$1))</f>
        <v>-318.68852723050662</v>
      </c>
      <c r="O137" s="493" cm="1">
        <f t="array" ref="O137">INDEX('Talnagögn | Numerical Data'!$1:$1048576, _xlfn.XMATCH($B137,'Talnagögn | Numerical Data'!$B:$B), _xlfn.XMATCH($B$2,'Talnagögn | Numerical Data'!$1:$1))/INDEX('Talnagögn | Numerical Data'!$1:$1048576, _xlfn.XMATCH($A137,'Talnagögn | Numerical Data'!$B:$B), _xlfn.XMATCH($A$3,'Talnagögn | Numerical Data'!$1:$1))-1</f>
        <v>-0.42933977981868576</v>
      </c>
      <c r="P137" s="222"/>
      <c r="Q137" s="222"/>
      <c r="R137" s="222"/>
      <c r="S137" s="222"/>
      <c r="T137" s="224"/>
      <c r="AH137" s="525" t="s">
        <v>136</v>
      </c>
      <c r="AI137" s="490" cm="1">
        <f t="array" ref="AI137">INDEX('Talnagögn | Numerical Data'!$1:$1048576, _xlfn.XMATCH($A137,'Talnagögn | Numerical Data'!$A:$A), _xlfn.XMATCH($A$1,'Talnagögn | Numerical Data'!$1:$1))</f>
        <v>519.47716734952905</v>
      </c>
      <c r="AJ137" s="519">
        <f t="shared" si="1"/>
        <v>0.18139035854399574</v>
      </c>
      <c r="AK137" s="516" cm="1">
        <f t="array" ref="AK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_xlfn.XMATCH($A$4,'Talnagögn | Numerical Data'!$1:$1))</f>
        <v>34.141952595727957</v>
      </c>
      <c r="AL137" s="520" cm="1">
        <f t="array" ref="AL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_xlfn.XMATCH($A$4,'Talnagögn | Numerical Data'!$1:$1))-1</f>
        <v>7.0347157094395874E-2</v>
      </c>
      <c r="AM137" s="490" cm="1">
        <f t="array" ref="AM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_xlfn.XMATCH($A$3,'Talnagögn | Numerical Data'!$1:$1))</f>
        <v>-222.79862960805031</v>
      </c>
      <c r="AN137" s="493" cm="1">
        <f t="array" ref="AN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_xlfn.XMATCH($A$3,'Talnagögn | Numerical Data'!$1:$1))-1</f>
        <v>-0.30015612865359687</v>
      </c>
      <c r="AP137" s="525" t="s">
        <v>136</v>
      </c>
      <c r="AQ137" s="516" cm="1">
        <f t="array" ref="AQ137">INDEX('Talnagögn | Numerical Data'!$1:$1048576, _xlfn.XMATCH($B137,'Talnagögn | Numerical Data'!$B:$B), _xlfn.XMATCH($B$2,'Talnagögn | Numerical Data'!$1:$1))-INDEX('Talnagögn | Numerical Data'!$1:$1048576, _xlfn.XMATCH($A137,'Talnagögn | Numerical Data'!$B:$B), _xlfn.XMATCH($A$3,'Talnagögn | Numerical Data'!$1:$1))</f>
        <v>-318.68852723050662</v>
      </c>
      <c r="AR137" s="493" cm="1">
        <f t="array" ref="AR137">INDEX('Talnagögn | Numerical Data'!$1:$1048576, _xlfn.XMATCH($B137,'Talnagögn | Numerical Data'!$B:$B), _xlfn.XMATCH($B$2,'Talnagögn | Numerical Data'!$1:$1))/INDEX('Talnagögn | Numerical Data'!$1:$1048576, _xlfn.XMATCH($A137,'Talnagögn | Numerical Data'!$B:$B), _xlfn.XMATCH($A$3,'Talnagögn | Numerical Data'!$1:$1))-1</f>
        <v>-0.42933977981868576</v>
      </c>
    </row>
    <row r="138" spans="1:44" ht="21" customHeight="1" x14ac:dyDescent="0.4">
      <c r="A138" s="1035" t="s">
        <v>76</v>
      </c>
      <c r="B138" s="1110" t="s">
        <v>336</v>
      </c>
      <c r="C138" s="1098" t="s">
        <v>340</v>
      </c>
      <c r="D138" s="39" t="s">
        <v>48</v>
      </c>
      <c r="E138" s="525" t="str">
        <f>'Talnagögn | Numerical Data'!$D$272</f>
        <v>Urðun úrgangs</v>
      </c>
      <c r="F138" s="490" cm="1">
        <f t="array" ref="F138">INDEX('Talnagögn | Numerical Data'!$1:$1048576, _xlfn.XMATCH($A138,'Talnagögn | Numerical Data'!$A:$A), _xlfn.XMATCH($A$1,'Talnagögn | Numerical Data'!$1:$1))</f>
        <v>203.07062729519799</v>
      </c>
      <c r="G138" s="520">
        <f t="shared" si="0"/>
        <v>7.0907936305977637E-2</v>
      </c>
      <c r="H138" s="490" cm="1">
        <f t="array" ref="H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_xlfn.XMATCH($A$4,'Talnagögn | Numerical Data'!$1:$1))</f>
        <v>-12.524358923238651</v>
      </c>
      <c r="I138" s="520" cm="1">
        <f t="array" ref="I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_xlfn.XMATCH($A$4,'Talnagögn | Numerical Data'!$1:$1))-1</f>
        <v>-5.8092069499933618E-2</v>
      </c>
      <c r="J138" s="490" cm="1">
        <f t="array" ref="J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_xlfn.XMATCH($A$3,'Talnagögn | Numerical Data'!$1:$1))</f>
        <v>-80.810109737760968</v>
      </c>
      <c r="K138" s="493" cm="1">
        <f t="array" ref="K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_xlfn.XMATCH($A$3,'Talnagögn | Numerical Data'!$1:$1))-1</f>
        <v>-0.28466218096502549</v>
      </c>
      <c r="M138" s="525" t="str">
        <f>'Talnagögn | Numerical Data'!$D$272</f>
        <v>Urðun úrgangs</v>
      </c>
      <c r="N138" s="490" cm="1">
        <f t="array" ref="N138">INDEX('Talnagögn | Numerical Data'!$1:$1048576, _xlfn.XMATCH($B138,'Talnagögn | Numerical Data'!$B:$B), _xlfn.XMATCH($B$2,'Talnagögn | Numerical Data'!$1:$1))-INDEX('Talnagögn | Numerical Data'!$1:$1048576, _xlfn.XMATCH($A138,'Talnagögn | Numerical Data'!$B:$B), _xlfn.XMATCH($A$3,'Talnagögn | Numerical Data'!$1:$1))</f>
        <v>-163.02913834685739</v>
      </c>
      <c r="O138" s="493" cm="1">
        <f t="array" ref="O138">INDEX('Talnagögn | Numerical Data'!$1:$1048576, _xlfn.XMATCH($B138,'Talnagögn | Numerical Data'!$B:$B), _xlfn.XMATCH($B$2,'Talnagögn | Numerical Data'!$1:$1))/INDEX('Talnagögn | Numerical Data'!$1:$1048576, _xlfn.XMATCH($A138,'Talnagögn | Numerical Data'!$B:$B), _xlfn.XMATCH($A$3,'Talnagögn | Numerical Data'!$1:$1))-1</f>
        <v>-0.57428742806148725</v>
      </c>
      <c r="P138" s="222"/>
      <c r="Q138" s="222"/>
      <c r="R138" s="222"/>
      <c r="S138" s="222"/>
      <c r="T138" s="224"/>
      <c r="AH138" s="525" t="s">
        <v>141</v>
      </c>
      <c r="AI138" s="490" cm="1">
        <f t="array" ref="AI138">INDEX('Talnagögn | Numerical Data'!$1:$1048576, _xlfn.XMATCH($A138,'Talnagögn | Numerical Data'!$A:$A), _xlfn.XMATCH($A$1,'Talnagögn | Numerical Data'!$1:$1))</f>
        <v>203.07062729519799</v>
      </c>
      <c r="AJ138" s="520">
        <f t="shared" si="1"/>
        <v>7.0907936305977637E-2</v>
      </c>
      <c r="AK138" s="490" cm="1">
        <f t="array" ref="AK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_xlfn.XMATCH($A$4,'Talnagögn | Numerical Data'!$1:$1))</f>
        <v>-12.524358923238651</v>
      </c>
      <c r="AL138" s="520" cm="1">
        <f t="array" ref="AL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_xlfn.XMATCH($A$4,'Talnagögn | Numerical Data'!$1:$1))-1</f>
        <v>-5.8092069499933618E-2</v>
      </c>
      <c r="AM138" s="490" cm="1">
        <f t="array" ref="AM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_xlfn.XMATCH($A$3,'Talnagögn | Numerical Data'!$1:$1))</f>
        <v>-80.810109737760968</v>
      </c>
      <c r="AN138" s="493" cm="1">
        <f t="array" ref="AN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_xlfn.XMATCH($A$3,'Talnagögn | Numerical Data'!$1:$1))-1</f>
        <v>-0.28466218096502549</v>
      </c>
      <c r="AP138" s="525" t="s">
        <v>141</v>
      </c>
      <c r="AQ138" s="490" cm="1">
        <f t="array" ref="AQ138">INDEX('Talnagögn | Numerical Data'!$1:$1048576, _xlfn.XMATCH($B138,'Talnagögn | Numerical Data'!$B:$B), _xlfn.XMATCH($B$2,'Talnagögn | Numerical Data'!$1:$1))-INDEX('Talnagögn | Numerical Data'!$1:$1048576, _xlfn.XMATCH($A138,'Talnagögn | Numerical Data'!$B:$B), _xlfn.XMATCH($A$3,'Talnagögn | Numerical Data'!$1:$1))</f>
        <v>-163.02913834685739</v>
      </c>
      <c r="AR138" s="493" cm="1">
        <f t="array" ref="AR138">INDEX('Talnagögn | Numerical Data'!$1:$1048576, _xlfn.XMATCH($B138,'Talnagögn | Numerical Data'!$B:$B), _xlfn.XMATCH($B$2,'Talnagögn | Numerical Data'!$1:$1))/INDEX('Talnagögn | Numerical Data'!$1:$1048576, _xlfn.XMATCH($A138,'Talnagögn | Numerical Data'!$B:$B), _xlfn.XMATCH($A$3,'Talnagögn | Numerical Data'!$1:$1))-1</f>
        <v>-0.57428742806148725</v>
      </c>
    </row>
    <row r="139" spans="1:44" ht="21" customHeight="1" x14ac:dyDescent="0.4">
      <c r="A139" s="1035" t="s">
        <v>55</v>
      </c>
      <c r="B139" s="1110" t="s">
        <v>282</v>
      </c>
      <c r="C139" s="1098" t="s">
        <v>288</v>
      </c>
      <c r="D139" s="39" t="s">
        <v>48</v>
      </c>
      <c r="E139" s="525" t="str">
        <f>'Talnagögn | Numerical Data'!$D$274</f>
        <v>Jarðvarmavirkjanir</v>
      </c>
      <c r="F139" s="490" cm="1">
        <f t="array" ref="F139">INDEX('Talnagögn | Numerical Data'!$1:$1048576, _xlfn.XMATCH($A139,'Talnagögn | Numerical Data'!$A:$A), _xlfn.XMATCH($A$1,'Talnagögn | Numerical Data'!$1:$1))</f>
        <v>223.69103641446083</v>
      </c>
      <c r="G139" s="520">
        <f t="shared" si="0"/>
        <v>7.8108143819526119E-2</v>
      </c>
      <c r="H139" s="496" cm="1">
        <f t="array" ref="H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_xlfn.XMATCH($A$4,'Talnagögn | Numerical Data'!$1:$1))</f>
        <v>46.936297447964222</v>
      </c>
      <c r="I139" s="519" cm="1">
        <f t="array" ref="I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_xlfn.XMATCH($A$4,'Talnagögn | Numerical Data'!$1:$1))-1</f>
        <v>0.26554477533335552</v>
      </c>
      <c r="J139" s="490" cm="1">
        <f t="array" ref="J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_xlfn.XMATCH($A$3,'Talnagögn | Numerical Data'!$1:$1))</f>
        <v>104.23456547237924</v>
      </c>
      <c r="K139" s="493" cm="1">
        <f t="array" ref="K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_xlfn.XMATCH($A$3,'Talnagögn | Numerical Data'!$1:$1))-1</f>
        <v>0.87257362159072427</v>
      </c>
      <c r="M139" s="525" t="str">
        <f>'Talnagögn | Numerical Data'!$D$274</f>
        <v>Jarðvarmavirkjanir</v>
      </c>
      <c r="N139" s="490" cm="1">
        <f t="array" ref="N139">INDEX('Talnagögn | Numerical Data'!$1:$1048576, _xlfn.XMATCH($B139,'Talnagögn | Numerical Data'!$B:$B), _xlfn.XMATCH($B$2,'Talnagögn | Numerical Data'!$1:$1))-INDEX('Talnagögn | Numerical Data'!$1:$1048576, _xlfn.XMATCH($A139,'Talnagögn | Numerical Data'!$B:$B), _xlfn.XMATCH($A$3,'Talnagögn | Numerical Data'!$1:$1))</f>
        <v>17.124370554853328</v>
      </c>
      <c r="O139" s="493" cm="1">
        <f t="array" ref="O139">INDEX('Talnagögn | Numerical Data'!$1:$1048576, _xlfn.XMATCH($B139,'Talnagögn | Numerical Data'!$B:$B), _xlfn.XMATCH($B$2,'Talnagögn | Numerical Data'!$1:$1))/INDEX('Talnagögn | Numerical Data'!$1:$1048576, _xlfn.XMATCH($A139,'Talnagögn | Numerical Data'!$B:$B), _xlfn.XMATCH($A$3,'Talnagögn | Numerical Data'!$1:$1))-1</f>
        <v>0.14335238953405938</v>
      </c>
      <c r="P139" s="1091"/>
      <c r="Q139" s="222"/>
      <c r="R139" s="222"/>
      <c r="S139" s="222"/>
      <c r="T139" s="224"/>
      <c r="AH139" s="525" t="s">
        <v>139</v>
      </c>
      <c r="AI139" s="490" cm="1">
        <f t="array" ref="AI139">INDEX('Talnagögn | Numerical Data'!$1:$1048576, _xlfn.XMATCH($A139,'Talnagögn | Numerical Data'!$A:$A), _xlfn.XMATCH($A$1,'Talnagögn | Numerical Data'!$1:$1))</f>
        <v>223.69103641446083</v>
      </c>
      <c r="AJ139" s="520">
        <f t="shared" si="1"/>
        <v>7.8108143819526119E-2</v>
      </c>
      <c r="AK139" s="496" cm="1">
        <f t="array" ref="AK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_xlfn.XMATCH($A$4,'Talnagögn | Numerical Data'!$1:$1))</f>
        <v>46.936297447964222</v>
      </c>
      <c r="AL139" s="519" cm="1">
        <f t="array" ref="AL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_xlfn.XMATCH($A$4,'Talnagögn | Numerical Data'!$1:$1))-1</f>
        <v>0.26554477533335552</v>
      </c>
      <c r="AM139" s="490" cm="1">
        <f t="array" ref="AM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_xlfn.XMATCH($A$3,'Talnagögn | Numerical Data'!$1:$1))</f>
        <v>104.23456547237924</v>
      </c>
      <c r="AN139" s="493" cm="1">
        <f t="array" ref="AN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_xlfn.XMATCH($A$3,'Talnagögn | Numerical Data'!$1:$1))-1</f>
        <v>0.87257362159072427</v>
      </c>
      <c r="AP139" s="525" t="s">
        <v>139</v>
      </c>
      <c r="AQ139" s="490" cm="1">
        <f t="array" ref="AQ139">INDEX('Talnagögn | Numerical Data'!$1:$1048576, _xlfn.XMATCH($B139,'Talnagögn | Numerical Data'!$B:$B), _xlfn.XMATCH($B$2,'Talnagögn | Numerical Data'!$1:$1))-INDEX('Talnagögn | Numerical Data'!$1:$1048576, _xlfn.XMATCH($A139,'Talnagögn | Numerical Data'!$B:$B), _xlfn.XMATCH($A$3,'Talnagögn | Numerical Data'!$1:$1))</f>
        <v>17.124370554853328</v>
      </c>
      <c r="AR139" s="493" cm="1">
        <f t="array" ref="AR139">INDEX('Talnagögn | Numerical Data'!$1:$1048576, _xlfn.XMATCH($B139,'Talnagögn | Numerical Data'!$B:$B), _xlfn.XMATCH($B$2,'Talnagögn | Numerical Data'!$1:$1))/INDEX('Talnagögn | Numerical Data'!$1:$1048576, _xlfn.XMATCH($A139,'Talnagögn | Numerical Data'!$B:$B), _xlfn.XMATCH($A$3,'Talnagögn | Numerical Data'!$1:$1))-1</f>
        <v>0.14335238953405938</v>
      </c>
    </row>
    <row r="140" spans="1:44" ht="21" customHeight="1" x14ac:dyDescent="0.4">
      <c r="A140" s="1035" t="s">
        <v>60</v>
      </c>
      <c r="B140" s="1110" t="s">
        <v>302</v>
      </c>
      <c r="C140" s="1098" t="s">
        <v>304</v>
      </c>
      <c r="D140" s="39" t="s">
        <v>48</v>
      </c>
      <c r="E140" s="526" t="str">
        <f>'Talnagögn | Numerical Data'!$D$273</f>
        <v>Kælibúnaður (F-gös)</v>
      </c>
      <c r="F140" s="490" cm="1">
        <f t="array" ref="F140">INDEX('Talnagögn | Numerical Data'!$1:$1048576, _xlfn.XMATCH($A140,'Talnagögn | Numerical Data'!$A:$A), _xlfn.XMATCH($A$1,'Talnagögn | Numerical Data'!$1:$1))</f>
        <v>107.78462088442339</v>
      </c>
      <c r="G140" s="520">
        <f t="shared" si="0"/>
        <v>3.7636093088571305E-2</v>
      </c>
      <c r="H140" s="490" cm="1">
        <f t="array" ref="H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_xlfn.XMATCH($A$4,'Talnagögn | Numerical Data'!$1:$1))</f>
        <v>-16.796422823941626</v>
      </c>
      <c r="I140" s="519" cm="1">
        <f t="array" ref="I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_xlfn.XMATCH($A$4,'Talnagögn | Numerical Data'!$1:$1))-1</f>
        <v>-0.13482326302596093</v>
      </c>
      <c r="J140" s="490" cm="1">
        <f t="array" ref="J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_xlfn.XMATCH($A$3,'Talnagögn | Numerical Data'!$1:$1))</f>
        <v>50.609971941778191</v>
      </c>
      <c r="K140" s="493" cm="1">
        <f t="array" ref="K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_xlfn.XMATCH($A$3,'Talnagögn | Numerical Data'!$1:$1))-1</f>
        <v>0.88518203220709979</v>
      </c>
      <c r="M140" s="526" t="str">
        <f>'Talnagögn | Numerical Data'!$D$273</f>
        <v>Kælibúnaður (F-gös)</v>
      </c>
      <c r="N140" s="490" cm="1">
        <f t="array" ref="N140">INDEX('Talnagögn | Numerical Data'!$1:$1048576, _xlfn.XMATCH($B140,'Talnagögn | Numerical Data'!$B:$B), _xlfn.XMATCH($B$2,'Talnagögn | Numerical Data'!$1:$1))-INDEX('Talnagögn | Numerical Data'!$1:$1048576, _xlfn.XMATCH($A140,'Talnagögn | Numerical Data'!$B:$B), _xlfn.XMATCH($A$3,'Talnagögn | Numerical Data'!$1:$1))</f>
        <v>-21.8865058812247</v>
      </c>
      <c r="O140" s="493" cm="1">
        <f t="array" ref="O140">INDEX('Talnagögn | Numerical Data'!$1:$1048576, _xlfn.XMATCH($B140,'Talnagögn | Numerical Data'!$B:$B), _xlfn.XMATCH($B$2,'Talnagögn | Numerical Data'!$1:$1))/INDEX('Talnagögn | Numerical Data'!$1:$1048576, _xlfn.XMATCH($A140,'Talnagögn | Numerical Data'!$B:$B), _xlfn.XMATCH($A$3,'Talnagögn | Numerical Data'!$1:$1))-1</f>
        <v>-0.38280087916552263</v>
      </c>
      <c r="P140" s="1091"/>
      <c r="Q140" s="222"/>
      <c r="R140" s="222"/>
      <c r="S140" s="222"/>
      <c r="T140" s="224"/>
      <c r="AH140" s="526" t="s">
        <v>137</v>
      </c>
      <c r="AI140" s="490" cm="1">
        <f t="array" ref="AI140">INDEX('Talnagögn | Numerical Data'!$1:$1048576, _xlfn.XMATCH($A140,'Talnagögn | Numerical Data'!$A:$A), _xlfn.XMATCH($A$1,'Talnagögn | Numerical Data'!$1:$1))</f>
        <v>107.78462088442339</v>
      </c>
      <c r="AJ140" s="520">
        <f t="shared" si="1"/>
        <v>3.7636093088571305E-2</v>
      </c>
      <c r="AK140" s="490" cm="1">
        <f t="array" ref="AK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_xlfn.XMATCH($A$4,'Talnagögn | Numerical Data'!$1:$1))</f>
        <v>-16.796422823941626</v>
      </c>
      <c r="AL140" s="519" cm="1">
        <f t="array" ref="AL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_xlfn.XMATCH($A$4,'Talnagögn | Numerical Data'!$1:$1))-1</f>
        <v>-0.13482326302596093</v>
      </c>
      <c r="AM140" s="490" cm="1">
        <f t="array" ref="AM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_xlfn.XMATCH($A$3,'Talnagögn | Numerical Data'!$1:$1))</f>
        <v>50.609971941778191</v>
      </c>
      <c r="AN140" s="493" cm="1">
        <f t="array" ref="AN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_xlfn.XMATCH($A$3,'Talnagögn | Numerical Data'!$1:$1))-1</f>
        <v>0.88518203220709979</v>
      </c>
      <c r="AP140" s="526" t="s">
        <v>137</v>
      </c>
      <c r="AQ140" s="490" cm="1">
        <f t="array" ref="AQ140">INDEX('Talnagögn | Numerical Data'!$1:$1048576, _xlfn.XMATCH($B140,'Talnagögn | Numerical Data'!$B:$B), _xlfn.XMATCH($B$2,'Talnagögn | Numerical Data'!$1:$1))-INDEX('Talnagögn | Numerical Data'!$1:$1048576, _xlfn.XMATCH($A140,'Talnagögn | Numerical Data'!$B:$B), _xlfn.XMATCH($A$3,'Talnagögn | Numerical Data'!$1:$1))</f>
        <v>-21.8865058812247</v>
      </c>
      <c r="AR140" s="493" cm="1">
        <f t="array" ref="AR140">INDEX('Talnagögn | Numerical Data'!$1:$1048576, _xlfn.XMATCH($B140,'Talnagögn | Numerical Data'!$B:$B), _xlfn.XMATCH($B$2,'Talnagögn | Numerical Data'!$1:$1))/INDEX('Talnagögn | Numerical Data'!$1:$1048576, _xlfn.XMATCH($A140,'Talnagögn | Numerical Data'!$B:$B), _xlfn.XMATCH($A$3,'Talnagögn | Numerical Data'!$1:$1))-1</f>
        <v>-0.38280087916552263</v>
      </c>
    </row>
    <row r="141" spans="1:44" ht="21" customHeight="1" x14ac:dyDescent="0.4">
      <c r="A141" s="1035" t="s">
        <v>93</v>
      </c>
      <c r="B141" s="1110" t="s">
        <v>294</v>
      </c>
      <c r="C141" s="1098" t="s">
        <v>299</v>
      </c>
      <c r="D141" s="39" t="s">
        <v>48</v>
      </c>
      <c r="E141" s="525" t="str">
        <f>'Talnagögn | Numerical Data'!$D$275</f>
        <v>Vélar og tæki</v>
      </c>
      <c r="F141" s="490" cm="1">
        <f t="array" ref="F141">INDEX('Talnagögn | Numerical Data'!$1:$1048576, _xlfn.XMATCH($A141,'Talnagögn | Numerical Data'!$A:$A), _xlfn.XMATCH($A$1,'Talnagögn | Numerical Data'!$1:$1))</f>
        <v>76.484306234264068</v>
      </c>
      <c r="G141" s="520">
        <f t="shared" si="0"/>
        <v>2.6706690116155122E-2</v>
      </c>
      <c r="H141" s="496" cm="1">
        <f t="array" ref="H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_xlfn.XMATCH($A$4,'Talnagögn | Numerical Data'!$1:$1))</f>
        <v>1.5964176179070222</v>
      </c>
      <c r="I141" s="519" cm="1">
        <f t="array" ref="I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_xlfn.XMATCH($A$4,'Talnagögn | Numerical Data'!$1:$1))-1</f>
        <v>2.1317433932278584E-2</v>
      </c>
      <c r="J141" s="490" cm="1">
        <f t="array" ref="J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_xlfn.XMATCH($A$3,'Talnagögn | Numerical Data'!$1:$1))</f>
        <v>-160.40823738323118</v>
      </c>
      <c r="K141" s="493" cm="1">
        <f t="array" ref="K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_xlfn.XMATCH($A$3,'Talnagögn | Numerical Data'!$1:$1))-1</f>
        <v>-0.67713502051900187</v>
      </c>
      <c r="M141" s="525" t="str">
        <f>'Talnagögn | Numerical Data'!$D$275</f>
        <v>Vélar og tæki</v>
      </c>
      <c r="N141" s="490" cm="1">
        <f t="array" ref="N141">INDEX('Talnagögn | Numerical Data'!$1:$1048576, _xlfn.XMATCH($B141,'Talnagögn | Numerical Data'!$B:$B), _xlfn.XMATCH($B$2,'Talnagögn | Numerical Data'!$1:$1))-INDEX('Talnagögn | Numerical Data'!$1:$1048576, _xlfn.XMATCH($A141,'Talnagögn | Numerical Data'!$B:$B), _xlfn.XMATCH($A$3,'Talnagögn | Numerical Data'!$1:$1))</f>
        <v>-156.57720903625662</v>
      </c>
      <c r="O141" s="493" cm="1">
        <f t="array" ref="O141">INDEX('Talnagögn | Numerical Data'!$1:$1048576, _xlfn.XMATCH($B141,'Talnagögn | Numerical Data'!$B:$B), _xlfn.XMATCH($B$2,'Talnagögn | Numerical Data'!$1:$1))/INDEX('Talnagögn | Numerical Data'!$1:$1048576, _xlfn.XMATCH($A141,'Talnagögn | Numerical Data'!$B:$B), _xlfn.XMATCH($A$3,'Talnagögn | Numerical Data'!$1:$1))-1</f>
        <v>-0.66096301152086112</v>
      </c>
      <c r="P141" s="1091"/>
      <c r="Q141" s="222"/>
      <c r="R141" s="222"/>
      <c r="S141" s="222"/>
      <c r="T141" s="224"/>
      <c r="AH141" s="525" t="s">
        <v>140</v>
      </c>
      <c r="AI141" s="490" cm="1">
        <f t="array" ref="AI141">INDEX('Talnagögn | Numerical Data'!$1:$1048576, _xlfn.XMATCH($A141,'Talnagögn | Numerical Data'!$A:$A), _xlfn.XMATCH($A$1,'Talnagögn | Numerical Data'!$1:$1))</f>
        <v>76.484306234264068</v>
      </c>
      <c r="AJ141" s="520">
        <f t="shared" si="1"/>
        <v>2.6706690116155122E-2</v>
      </c>
      <c r="AK141" s="496" cm="1">
        <f t="array" ref="AK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_xlfn.XMATCH($A$4,'Talnagögn | Numerical Data'!$1:$1))</f>
        <v>1.5964176179070222</v>
      </c>
      <c r="AL141" s="519" cm="1">
        <f t="array" ref="AL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_xlfn.XMATCH($A$4,'Talnagögn | Numerical Data'!$1:$1))-1</f>
        <v>2.1317433932278584E-2</v>
      </c>
      <c r="AM141" s="490" cm="1">
        <f t="array" ref="AM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_xlfn.XMATCH($A$3,'Talnagögn | Numerical Data'!$1:$1))</f>
        <v>-160.40823738323118</v>
      </c>
      <c r="AN141" s="493" cm="1">
        <f t="array" ref="AN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_xlfn.XMATCH($A$3,'Talnagögn | Numerical Data'!$1:$1))-1</f>
        <v>-0.67713502051900187</v>
      </c>
      <c r="AP141" s="525" t="s">
        <v>140</v>
      </c>
      <c r="AQ141" s="490" cm="1">
        <f t="array" ref="AQ141">INDEX('Talnagögn | Numerical Data'!$1:$1048576, _xlfn.XMATCH($B141,'Talnagögn | Numerical Data'!$B:$B), _xlfn.XMATCH($B$2,'Talnagögn | Numerical Data'!$1:$1))-INDEX('Talnagögn | Numerical Data'!$1:$1048576, _xlfn.XMATCH($A141,'Talnagögn | Numerical Data'!$B:$B), _xlfn.XMATCH($A$3,'Talnagögn | Numerical Data'!$1:$1))</f>
        <v>-156.57720903625662</v>
      </c>
      <c r="AR141" s="493" cm="1">
        <f t="array" ref="AR141">INDEX('Talnagögn | Numerical Data'!$1:$1048576, _xlfn.XMATCH($B141,'Talnagögn | Numerical Data'!$B:$B), _xlfn.XMATCH($B$2,'Talnagögn | Numerical Data'!$1:$1))/INDEX('Talnagögn | Numerical Data'!$1:$1048576, _xlfn.XMATCH($A141,'Talnagögn | Numerical Data'!$B:$B), _xlfn.XMATCH($A$3,'Talnagögn | Numerical Data'!$1:$1))-1</f>
        <v>-0.66096301152086112</v>
      </c>
    </row>
    <row r="142" spans="1:44" ht="21" customHeight="1" x14ac:dyDescent="0.4">
      <c r="A142" s="1035" t="s">
        <v>94</v>
      </c>
      <c r="B142" s="1110" t="s">
        <v>382</v>
      </c>
      <c r="C142" s="1098" t="s">
        <v>383</v>
      </c>
      <c r="D142" s="39" t="s">
        <v>48</v>
      </c>
      <c r="E142" s="531" t="str">
        <f>'Talnagögn | Numerical Data'!$D$279</f>
        <v>Önnur losun</v>
      </c>
      <c r="F142" s="502" cm="1">
        <f t="array" ref="F142">INDEX('Talnagögn | Numerical Data'!$1:$1048576, _xlfn.XMATCH($A142,'Talnagögn | Numerical Data'!$A:$A), _xlfn.XMATCH($A$1,'Talnagögn | Numerical Data'!$1:$1))</f>
        <v>165.40197900591784</v>
      </c>
      <c r="G142" s="532">
        <f t="shared" si="0"/>
        <v>5.7754846914345501E-2</v>
      </c>
      <c r="H142" s="502" cm="1">
        <f t="array" ref="H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_xlfn.XMATCH($A$4,'Talnagögn | Numerical Data'!$1:$1))</f>
        <v>30.741955407847854</v>
      </c>
      <c r="I142" s="521" cm="1">
        <f t="array" ref="I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_xlfn.XMATCH($A$4,'Talnagögn | Numerical Data'!$1:$1))-1</f>
        <v>0.22829310872249442</v>
      </c>
      <c r="J142" s="502" cm="1">
        <f t="array" ref="J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_xlfn.XMATCH($A$3,'Talnagögn | Numerical Data'!$1:$1))</f>
        <v>-158.89390233600579</v>
      </c>
      <c r="K142" s="503" cm="1">
        <f t="array" ref="K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_xlfn.XMATCH($A$3,'Talnagögn | Numerical Data'!$1:$1))-1</f>
        <v>-0.48996583514569803</v>
      </c>
      <c r="M142" s="531" t="str">
        <f>'Talnagögn | Numerical Data'!$D$279</f>
        <v>Önnur losun</v>
      </c>
      <c r="N142" s="502" cm="1">
        <f t="array" ref="N142">INDEX('Talnagögn | Numerical Data'!$1:$1048576, _xlfn.XMATCH($B142,'Talnagögn | Numerical Data'!$B:$B), _xlfn.XMATCH($B$2,'Talnagögn | Numerical Data'!$1:$1))-INDEX('Talnagögn | Numerical Data'!$1:$1048576, _xlfn.XMATCH($A142,'Talnagögn | Numerical Data'!$B:$B), _xlfn.XMATCH($A$3,'Talnagögn | Numerical Data'!$1:$1))</f>
        <v>-200.10351428706781</v>
      </c>
      <c r="O142" s="503" cm="1">
        <f t="array" ref="O142">INDEX('Talnagögn | Numerical Data'!$1:$1048576, _xlfn.XMATCH($B142,'Talnagögn | Numerical Data'!$B:$B), _xlfn.XMATCH($B$2,'Talnagögn | Numerical Data'!$1:$1))/INDEX('Talnagögn | Numerical Data'!$1:$1048576, _xlfn.XMATCH($A142,'Talnagögn | Numerical Data'!$B:$B), _xlfn.XMATCH($A$3,'Talnagögn | Numerical Data'!$1:$1))-1</f>
        <v>-0.61703994962577791</v>
      </c>
      <c r="P142" s="1091"/>
      <c r="Q142" s="222"/>
      <c r="R142" s="222"/>
      <c r="S142" s="222"/>
      <c r="T142" s="224"/>
      <c r="AH142" s="531" t="s">
        <v>189</v>
      </c>
      <c r="AI142" s="502" cm="1">
        <f t="array" ref="AI142">INDEX('Talnagögn | Numerical Data'!$1:$1048576, _xlfn.XMATCH($A142,'Talnagögn | Numerical Data'!$A:$A), _xlfn.XMATCH($A$1,'Talnagögn | Numerical Data'!$1:$1))</f>
        <v>165.40197900591784</v>
      </c>
      <c r="AJ142" s="532">
        <f t="shared" si="1"/>
        <v>5.7754846914345501E-2</v>
      </c>
      <c r="AK142" s="502" cm="1">
        <f t="array" ref="AK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_xlfn.XMATCH($A$4,'Talnagögn | Numerical Data'!$1:$1))</f>
        <v>30.741955407847854</v>
      </c>
      <c r="AL142" s="521" cm="1">
        <f t="array" ref="AL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_xlfn.XMATCH($A$4,'Talnagögn | Numerical Data'!$1:$1))-1</f>
        <v>0.22829310872249442</v>
      </c>
      <c r="AM142" s="502" cm="1">
        <f t="array" ref="AM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_xlfn.XMATCH($A$3,'Talnagögn | Numerical Data'!$1:$1))</f>
        <v>-158.89390233600579</v>
      </c>
      <c r="AN142" s="503" cm="1">
        <f t="array" ref="AN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_xlfn.XMATCH($A$3,'Talnagögn | Numerical Data'!$1:$1))-1</f>
        <v>-0.48996583514569803</v>
      </c>
      <c r="AP142" s="531" t="s">
        <v>189</v>
      </c>
      <c r="AQ142" s="502" cm="1">
        <f t="array" ref="AQ142">INDEX('Talnagögn | Numerical Data'!$1:$1048576, _xlfn.XMATCH($B142,'Talnagögn | Numerical Data'!$B:$B), _xlfn.XMATCH($B$2,'Talnagögn | Numerical Data'!$1:$1))-INDEX('Talnagögn | Numerical Data'!$1:$1048576, _xlfn.XMATCH($A142,'Talnagögn | Numerical Data'!$B:$B), _xlfn.XMATCH($A$3,'Talnagögn | Numerical Data'!$1:$1))</f>
        <v>-200.10351428706781</v>
      </c>
      <c r="AR142" s="503" cm="1">
        <f t="array" ref="AR142">INDEX('Talnagögn | Numerical Data'!$1:$1048576, _xlfn.XMATCH($B142,'Talnagögn | Numerical Data'!$B:$B), _xlfn.XMATCH($B$2,'Talnagögn | Numerical Data'!$1:$1))/INDEX('Talnagögn | Numerical Data'!$1:$1048576, _xlfn.XMATCH($A142,'Talnagögn | Numerical Data'!$B:$B), _xlfn.XMATCH($A$3,'Talnagögn | Numerical Data'!$1:$1))-1</f>
        <v>-0.61703994962577791</v>
      </c>
    </row>
    <row r="143" spans="1:44" s="8" customFormat="1" ht="30" customHeight="1" x14ac:dyDescent="0.4">
      <c r="A143" s="1112" t="s">
        <v>218</v>
      </c>
      <c r="B143" s="1112" t="s">
        <v>354</v>
      </c>
      <c r="C143" s="1098" t="s">
        <v>353</v>
      </c>
      <c r="D143" s="39" t="s">
        <v>48</v>
      </c>
      <c r="E143" s="504" t="s">
        <v>404</v>
      </c>
      <c r="F143" s="505" cm="1">
        <f t="array" ref="F143">INDEX('Talnagögn | Numerical Data'!$1:$1048576, _xlfn.XMATCH($A143,'Talnagögn | Numerical Data'!$A:$A), _xlfn.XMATCH($A$1,'Talnagögn | Numerical Data'!$1:$1))</f>
        <v>2863.863170674153</v>
      </c>
      <c r="G143" s="522">
        <f>SUM(G135:G142)</f>
        <v>1.0000000000000002</v>
      </c>
      <c r="H143" s="505" cm="1">
        <f t="array" ref="H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_xlfn.XMATCH($A$4,'Talnagögn | Numerical Data'!$1:$1))</f>
        <v>55.14272821951181</v>
      </c>
      <c r="I143" s="530" cm="1">
        <f t="array" ref="I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_xlfn.XMATCH($A$4,'Talnagögn | Numerical Data'!$1:$1))-1</f>
        <v>1.9632686609180938E-2</v>
      </c>
      <c r="J143" s="505" cm="1">
        <f t="array" ref="J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_xlfn.XMATCH($A$3,'Talnagögn | Numerical Data'!$1:$1))</f>
        <v>-351.45632807500351</v>
      </c>
      <c r="K143" s="509" cm="1">
        <f t="array" ref="K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_xlfn.XMATCH($A$3,'Talnagögn | Numerical Data'!$1:$1))-1</f>
        <v>-0.10930681327679237</v>
      </c>
      <c r="L143" s="40"/>
      <c r="M143" s="504" t="s">
        <v>404</v>
      </c>
      <c r="N143" s="505" cm="1">
        <f t="array" ref="N143">INDEX('Talnagögn | Numerical Data'!$1:$1048576, _xlfn.XMATCH($B143,'Talnagögn | Numerical Data'!$B:$B), _xlfn.XMATCH($B$2,'Talnagögn | Numerical Data'!$1:$1))-INDEX('Talnagögn | Numerical Data'!$1:$1048576, _xlfn.XMATCH($A143,'Talnagögn | Numerical Data'!$B:$B), _xlfn.XMATCH($A$3,'Talnagögn | Numerical Data'!$1:$1))</f>
        <v>-812.01798102678504</v>
      </c>
      <c r="O143" s="509" cm="1">
        <f t="array" ref="O143">INDEX('Talnagögn | Numerical Data'!$1:$1048576, _xlfn.XMATCH($B143,'Talnagögn | Numerical Data'!$B:$B), _xlfn.XMATCH($B$2,'Talnagögn | Numerical Data'!$1:$1))/INDEX('Talnagögn | Numerical Data'!$1:$1048576, _xlfn.XMATCH($A143,'Talnagögn | Numerical Data'!$B:$B), _xlfn.XMATCH($A$3,'Talnagögn | Numerical Data'!$1:$1))-1</f>
        <v>-0.25254659182164674</v>
      </c>
      <c r="P143" s="222"/>
      <c r="Q143" s="222"/>
      <c r="R143" s="222"/>
      <c r="S143" s="222"/>
      <c r="T143" s="224"/>
      <c r="AF143" s="239"/>
      <c r="AH143" s="504" t="s">
        <v>254</v>
      </c>
      <c r="AI143" s="505" cm="1">
        <f t="array" ref="AI143">INDEX('Talnagögn | Numerical Data'!$1:$1048576, _xlfn.XMATCH($A143,'Talnagögn | Numerical Data'!$A:$A), _xlfn.XMATCH($A$1,'Talnagögn | Numerical Data'!$1:$1))</f>
        <v>2863.863170674153</v>
      </c>
      <c r="AJ143" s="522">
        <f>SUM(AJ135:AJ142)</f>
        <v>1.0000000000000002</v>
      </c>
      <c r="AK143" s="505" cm="1">
        <f t="array" ref="AK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_xlfn.XMATCH($A$4,'Talnagögn | Numerical Data'!$1:$1))</f>
        <v>55.14272821951181</v>
      </c>
      <c r="AL143" s="530" cm="1">
        <f t="array" ref="AL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_xlfn.XMATCH($A$4,'Talnagögn | Numerical Data'!$1:$1))-1</f>
        <v>1.9632686609180938E-2</v>
      </c>
      <c r="AM143" s="505" cm="1">
        <f t="array" ref="AM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_xlfn.XMATCH($A$3,'Talnagögn | Numerical Data'!$1:$1))</f>
        <v>-351.45632807500351</v>
      </c>
      <c r="AN143" s="509" cm="1">
        <f t="array" ref="AN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_xlfn.XMATCH($A$3,'Talnagögn | Numerical Data'!$1:$1))-1</f>
        <v>-0.10930681327679237</v>
      </c>
      <c r="AO143" s="40"/>
      <c r="AP143" s="504" t="s">
        <v>254</v>
      </c>
      <c r="AQ143" s="505" cm="1">
        <f t="array" ref="AQ143">INDEX('Talnagögn | Numerical Data'!$1:$1048576, _xlfn.XMATCH($B143,'Talnagögn | Numerical Data'!$B:$B), _xlfn.XMATCH($B$2,'Talnagögn | Numerical Data'!$1:$1))-INDEX('Talnagögn | Numerical Data'!$1:$1048576, _xlfn.XMATCH($A143,'Talnagögn | Numerical Data'!$B:$B), _xlfn.XMATCH($A$3,'Talnagögn | Numerical Data'!$1:$1))</f>
        <v>-812.01798102678504</v>
      </c>
      <c r="AR143" s="509" cm="1">
        <f t="array" ref="AR143">INDEX('Talnagögn | Numerical Data'!$1:$1048576, _xlfn.XMATCH($B143,'Talnagögn | Numerical Data'!$B:$B), _xlfn.XMATCH($B$2,'Talnagögn | Numerical Data'!$1:$1))/INDEX('Talnagögn | Numerical Data'!$1:$1048576, _xlfn.XMATCH($A143,'Talnagögn | Numerical Data'!$B:$B), _xlfn.XMATCH($A$3,'Talnagögn | Numerical Data'!$1:$1))-1</f>
        <v>-0.25254659182164674</v>
      </c>
    </row>
    <row r="144" spans="1:44" s="8" customFormat="1" ht="30" customHeight="1" x14ac:dyDescent="0.4">
      <c r="A144" s="1112" t="s">
        <v>95</v>
      </c>
      <c r="B144" s="1035" t="s">
        <v>48</v>
      </c>
      <c r="C144" s="1098"/>
      <c r="D144" s="39" t="s">
        <v>48</v>
      </c>
      <c r="E144" s="510" t="s">
        <v>409</v>
      </c>
      <c r="F144" s="502" t="s">
        <v>214</v>
      </c>
      <c r="G144" s="533" t="s">
        <v>214</v>
      </c>
      <c r="H144" s="502" t="s">
        <v>214</v>
      </c>
      <c r="I144" s="533" t="s">
        <v>214</v>
      </c>
      <c r="J144" s="513" cm="1">
        <f t="array" ref="J144">INDEX('Talnagögn | Numerical Data'!$1:$1048576, _xlfn.XMATCH($A143,'Talnagögn | Numerical Data'!$A:$A), _xlfn.XMATCH($A$1,'Talnagögn | Numerical Data'!$1:$1))-INDEX('Talnagögn | Numerical Data'!$1:$1048576, _xlfn.XMATCH($A144,'Talnagögn | Numerical Data'!$A:$A), _xlfn.XMATCH($A$3,'Talnagögn | Numerical Data'!$1:$1))</f>
        <v>-245.46582932584715</v>
      </c>
      <c r="K144" s="514" cm="1">
        <f t="array" ref="K144">INDEX('Talnagögn | Numerical Data'!$1:$1048576, _xlfn.XMATCH($A143,'Talnagögn | Numerical Data'!$A:$A), _xlfn.XMATCH($A$1,'Talnagögn | Numerical Data'!$1:$1))/INDEX('Talnagögn | Numerical Data'!$1:$1048576, _xlfn.XMATCH($A144,'Talnagögn | Numerical Data'!$A:$A), _xlfn.XMATCH($A$3,'Talnagögn | Numerical Data'!$1:$1))-1</f>
        <v>-7.8944952215042941E-2</v>
      </c>
      <c r="L144" s="40"/>
      <c r="M144" s="510" t="s">
        <v>409</v>
      </c>
      <c r="N144" s="513" cm="1">
        <f t="array" ref="N144">INDEX('Talnagögn | Numerical Data'!$1:$1048576, _xlfn.XMATCH($B143,'Talnagögn | Numerical Data'!$B:$B), _xlfn.XMATCH($B$2,'Talnagögn | Numerical Data'!$1:$1))-INDEX('Talnagögn | Numerical Data'!$1:$1048576, _xlfn.XMATCH($A144,'Talnagögn | Numerical Data'!$B:$B), _xlfn.XMATCH($A$3,'Talnagögn | Numerical Data'!$1:$1))</f>
        <v>-706.02748227762868</v>
      </c>
      <c r="O144" s="523" cm="1">
        <f t="array" ref="O144">INDEX('Talnagögn | Numerical Data'!$1:$1048576, _xlfn.XMATCH($B143,'Talnagögn | Numerical Data'!$B:$B), _xlfn.XMATCH($B$2,'Talnagögn | Numerical Data'!$1:$1))/INDEX('Talnagögn | Numerical Data'!$1:$1048576, _xlfn.XMATCH($A144,'Talnagögn | Numerical Data'!$B:$B), _xlfn.XMATCH($A$3,'Talnagögn | Numerical Data'!$1:$1))-1</f>
        <v>-0.22706747413272399</v>
      </c>
      <c r="P144" s="222"/>
      <c r="Q144" s="222"/>
      <c r="R144" s="222"/>
      <c r="S144" s="222"/>
      <c r="T144" s="224"/>
      <c r="AF144" s="239"/>
      <c r="AH144" s="510" t="s">
        <v>258</v>
      </c>
      <c r="AI144" s="502" t="s">
        <v>214</v>
      </c>
      <c r="AJ144" s="533" t="s">
        <v>214</v>
      </c>
      <c r="AK144" s="502" t="s">
        <v>214</v>
      </c>
      <c r="AL144" s="533" t="s">
        <v>214</v>
      </c>
      <c r="AM144" s="513" cm="1">
        <f t="array" ref="AM144">INDEX('Talnagögn | Numerical Data'!$1:$1048576, _xlfn.XMATCH($A143,'Talnagögn | Numerical Data'!$A:$A), _xlfn.XMATCH($A$1,'Talnagögn | Numerical Data'!$1:$1))-INDEX('Talnagögn | Numerical Data'!$1:$1048576, _xlfn.XMATCH($A144,'Talnagögn | Numerical Data'!$A:$A), _xlfn.XMATCH($A$3,'Talnagögn | Numerical Data'!$1:$1))</f>
        <v>-245.46582932584715</v>
      </c>
      <c r="AN144" s="514" cm="1">
        <f t="array" ref="AN144">INDEX('Talnagögn | Numerical Data'!$1:$1048576, _xlfn.XMATCH($A143,'Talnagögn | Numerical Data'!$A:$A), _xlfn.XMATCH($A$1,'Talnagögn | Numerical Data'!$1:$1))/INDEX('Talnagögn | Numerical Data'!$1:$1048576, _xlfn.XMATCH($A144,'Talnagögn | Numerical Data'!$A:$A), _xlfn.XMATCH($A$3,'Talnagögn | Numerical Data'!$1:$1))-1</f>
        <v>-7.8944952215042941E-2</v>
      </c>
      <c r="AO144" s="40"/>
      <c r="AP144" s="510" t="s">
        <v>258</v>
      </c>
      <c r="AQ144" s="513" cm="1">
        <f t="array" ref="AQ144">INDEX('Talnagögn | Numerical Data'!$1:$1048576, _xlfn.XMATCH($B143,'Talnagögn | Numerical Data'!$B:$B), _xlfn.XMATCH($B$2,'Talnagögn | Numerical Data'!$1:$1))-INDEX('Talnagögn | Numerical Data'!$1:$1048576, _xlfn.XMATCH($A144,'Talnagögn | Numerical Data'!$B:$B), _xlfn.XMATCH($A$3,'Talnagögn | Numerical Data'!$1:$1))</f>
        <v>-706.02748227762868</v>
      </c>
      <c r="AR144" s="523" cm="1">
        <f t="array" ref="AR144">INDEX('Talnagögn | Numerical Data'!$1:$1048576, _xlfn.XMATCH($B143,'Talnagögn | Numerical Data'!$B:$B), _xlfn.XMATCH($B$2,'Talnagögn | Numerical Data'!$1:$1))/INDEX('Talnagögn | Numerical Data'!$1:$1048576, _xlfn.XMATCH($A144,'Talnagögn | Numerical Data'!$B:$B), _xlfn.XMATCH($A$3,'Talnagögn | Numerical Data'!$1:$1))-1</f>
        <v>-0.22706747413272399</v>
      </c>
    </row>
    <row r="145" spans="1:41" x14ac:dyDescent="0.4">
      <c r="A145" s="1035" t="str">
        <f>"Samfélagslosun Íslands "&amp;
$A$1</f>
        <v>Samfélagslosun Íslands 2024</v>
      </c>
      <c r="B145" s="1035" t="str">
        <f>"Iceland's ESR Emissions "&amp;$A$1</f>
        <v>Iceland's ESR Emissions 2024</v>
      </c>
      <c r="D145" s="39" t="s">
        <v>48</v>
      </c>
      <c r="E145" s="226" t="s">
        <v>259</v>
      </c>
      <c r="F145" s="229"/>
      <c r="G145" s="135"/>
      <c r="H145" s="8"/>
      <c r="I145" s="217"/>
      <c r="J145" s="217"/>
      <c r="K145" s="221"/>
      <c r="L145" s="221"/>
      <c r="M145" s="221"/>
      <c r="N145" s="222"/>
      <c r="O145" s="222"/>
      <c r="P145" s="222"/>
      <c r="Q145" s="221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3"/>
      <c r="AG145" s="224"/>
      <c r="AH145" s="226" t="s">
        <v>165</v>
      </c>
      <c r="AO145" s="225"/>
    </row>
    <row r="146" spans="1:41" x14ac:dyDescent="0.4">
      <c r="B146" s="1112"/>
    </row>
    <row r="147" spans="1:41" x14ac:dyDescent="0.4">
      <c r="B147" s="1112"/>
    </row>
    <row r="148" spans="1:41" x14ac:dyDescent="0.4">
      <c r="B148" s="1124"/>
    </row>
    <row r="149" spans="1:41" x14ac:dyDescent="0.4">
      <c r="B149" s="1124"/>
    </row>
    <row r="150" spans="1:41" x14ac:dyDescent="0.4">
      <c r="B150" s="1112"/>
    </row>
    <row r="151" spans="1:41" x14ac:dyDescent="0.4">
      <c r="B151" s="1112"/>
    </row>
    <row r="152" spans="1:41" x14ac:dyDescent="0.4">
      <c r="B152" s="1112"/>
    </row>
    <row r="153" spans="1:41" x14ac:dyDescent="0.4">
      <c r="B153" s="1112"/>
    </row>
    <row r="154" spans="1:41" x14ac:dyDescent="0.4">
      <c r="B154" s="1112"/>
    </row>
    <row r="169" spans="1:43" s="569" customFormat="1" ht="27" customHeight="1" x14ac:dyDescent="0.4">
      <c r="A169" s="1037"/>
      <c r="B169" s="1037"/>
      <c r="E169" s="569" t="s">
        <v>34</v>
      </c>
      <c r="AF169" s="570"/>
      <c r="AH169" s="569" t="s">
        <v>168</v>
      </c>
      <c r="AI169" s="571"/>
      <c r="AK169" s="571"/>
      <c r="AM169" s="571"/>
      <c r="AQ169" s="571"/>
    </row>
    <row r="215" spans="1:43" s="569" customFormat="1" ht="27" customHeight="1" x14ac:dyDescent="0.4">
      <c r="A215" s="1037"/>
      <c r="B215" s="1037"/>
      <c r="E215" s="569" t="str">
        <f>$E$65</f>
        <v>FRAMREIKNUÐ LOSUN (SVIÐSMYND MEÐ NÚGILDANDI AÐGERÐUM)</v>
      </c>
      <c r="AF215" s="570"/>
      <c r="AH215" s="569" t="str">
        <f>$AH$65</f>
        <v>EMISSION PROJECTIONS (WITH EXISTING MEASURES SCENARIO)</v>
      </c>
      <c r="AI215" s="571"/>
      <c r="AK215" s="571"/>
      <c r="AM215" s="571"/>
      <c r="AQ215" s="571"/>
    </row>
    <row r="260" spans="1:43" s="569" customFormat="1" ht="27" customHeight="1" x14ac:dyDescent="0.4">
      <c r="A260" s="1037"/>
      <c r="B260" s="1037"/>
      <c r="E260" s="569" t="s">
        <v>108</v>
      </c>
      <c r="AF260" s="570"/>
      <c r="AH260" s="569" t="s">
        <v>172</v>
      </c>
      <c r="AI260" s="571"/>
      <c r="AK260" s="571"/>
      <c r="AM260" s="571"/>
      <c r="AQ260" s="571"/>
    </row>
    <row r="282" spans="1:44" x14ac:dyDescent="0.4">
      <c r="K282" s="1202"/>
      <c r="L282" s="1202"/>
      <c r="M282" s="1202"/>
    </row>
    <row r="283" spans="1:44" x14ac:dyDescent="0.4">
      <c r="K283" s="1202"/>
      <c r="L283" s="1202"/>
      <c r="M283" s="1202"/>
    </row>
    <row r="284" spans="1:44" x14ac:dyDescent="0.4">
      <c r="K284" s="1202"/>
      <c r="L284" s="1202"/>
      <c r="M284" s="1202"/>
    </row>
    <row r="285" spans="1:44" x14ac:dyDescent="0.4">
      <c r="K285" s="1202"/>
      <c r="L285" s="1202"/>
      <c r="M285" s="1202"/>
    </row>
    <row r="286" spans="1:44" s="534" customFormat="1" ht="83.25" customHeight="1" x14ac:dyDescent="0.4">
      <c r="A286" s="1118"/>
      <c r="B286" s="1118"/>
      <c r="C286" s="1104"/>
      <c r="E286" s="1080" t="s">
        <v>387</v>
      </c>
      <c r="AF286" s="535"/>
      <c r="AH286" s="1080" t="s">
        <v>174</v>
      </c>
      <c r="AI286" s="536"/>
      <c r="AK286" s="536"/>
      <c r="AM286" s="536"/>
      <c r="AQ286" s="536"/>
    </row>
    <row r="288" spans="1:44" ht="45" customHeight="1" x14ac:dyDescent="0.4">
      <c r="E288" s="1143" t="str">
        <f>"STAÐAN ÁRIÐ "&amp;$A$1</f>
        <v>STAÐAN ÁRIÐ 2024</v>
      </c>
      <c r="F288" s="1147"/>
      <c r="G288" s="1148"/>
      <c r="H288" s="1148"/>
      <c r="I288" s="1148"/>
      <c r="J288" s="1148"/>
      <c r="K288" s="1148"/>
      <c r="M288" s="1143" t="s">
        <v>403</v>
      </c>
      <c r="N288" s="1145" t="str">
        <f>$N$4</f>
        <v>Áætluð breyting í losun milli 2005 og 2030</v>
      </c>
      <c r="O288" s="1146"/>
      <c r="AH288" s="1143" t="str">
        <f>$A$1&amp;" EMISSIONS"</f>
        <v>2024 EMISSIONS</v>
      </c>
      <c r="AI288" s="1147"/>
      <c r="AJ288" s="1148"/>
      <c r="AK288" s="1148"/>
      <c r="AL288" s="1148"/>
      <c r="AM288" s="1148"/>
      <c r="AN288" s="1185"/>
      <c r="AP288" s="1143" t="s">
        <v>402</v>
      </c>
      <c r="AQ288" s="1145" t="str">
        <f>$AQ$4</f>
        <v>Estimated change in emissions between 2005 and 2030</v>
      </c>
      <c r="AR288" s="1146"/>
    </row>
    <row r="289" spans="1:44" ht="33" customHeight="1" x14ac:dyDescent="0.4">
      <c r="E289" s="1143"/>
      <c r="F289" s="1184" t="str">
        <f>$F$5</f>
        <v>Losun 2024</v>
      </c>
      <c r="G289" s="1158"/>
      <c r="H289" s="1157" t="str">
        <f>$H$5</f>
        <v>Breyting frá 2023</v>
      </c>
      <c r="I289" s="1158"/>
      <c r="J289" s="1157" t="str">
        <f>$J$5</f>
        <v>Breyting frá 2005</v>
      </c>
      <c r="K289" s="1159"/>
      <c r="M289" s="1143"/>
      <c r="N289" s="1155" t="str">
        <f>$N$5</f>
        <v>Sviðsmynd með núgildandi aðgerðum</v>
      </c>
      <c r="O289" s="1156"/>
      <c r="AH289" s="1143"/>
      <c r="AI289" s="1184" t="str">
        <f>$AI$5</f>
        <v>Emissions in 2024</v>
      </c>
      <c r="AJ289" s="1192"/>
      <c r="AK289" s="1193" t="str">
        <f>$AK$5</f>
        <v>Change from 2023</v>
      </c>
      <c r="AL289" s="1192"/>
      <c r="AM289" s="1193" t="str">
        <f>$AM$5</f>
        <v>Change from 2005</v>
      </c>
      <c r="AN289" s="1194"/>
      <c r="AP289" s="1143"/>
      <c r="AQ289" s="1186" t="str">
        <f>$AQ$5</f>
        <v>Scenario: 
With Existing Measures</v>
      </c>
      <c r="AR289" s="1187"/>
    </row>
    <row r="290" spans="1:44" ht="24.6" customHeight="1" thickBot="1" x14ac:dyDescent="0.45">
      <c r="E290" s="1144"/>
      <c r="F290" s="537" t="str">
        <f>$F$6</f>
        <v>Þús. tonn CO₂-íg.</v>
      </c>
      <c r="G290" s="549" t="s">
        <v>4</v>
      </c>
      <c r="H290" s="537" t="str">
        <f>$F$6</f>
        <v>Þús. tonn CO₂-íg.</v>
      </c>
      <c r="I290" s="549" t="s">
        <v>4</v>
      </c>
      <c r="J290" s="537" t="str">
        <f>$F$6</f>
        <v>Þús. tonn CO₂-íg.</v>
      </c>
      <c r="K290" s="537" t="s">
        <v>4</v>
      </c>
      <c r="M290" s="1144"/>
      <c r="N290" s="537" t="str">
        <f>$F$6</f>
        <v>Þús. tonn CO₂-íg.</v>
      </c>
      <c r="O290" s="537" t="s">
        <v>4</v>
      </c>
      <c r="AH290" s="1144"/>
      <c r="AI290" s="537" t="str">
        <f>$AI$6</f>
        <v>Thousand tons CO₂e</v>
      </c>
      <c r="AJ290" s="538" t="s">
        <v>4</v>
      </c>
      <c r="AK290" s="537" t="str">
        <f>$AI$6</f>
        <v>Thousand tons CO₂e</v>
      </c>
      <c r="AL290" s="538" t="s">
        <v>4</v>
      </c>
      <c r="AM290" s="537" t="str">
        <f>$AI$6</f>
        <v>Thousand tons CO₂e</v>
      </c>
      <c r="AN290" s="539" t="s">
        <v>4</v>
      </c>
      <c r="AP290" s="1144"/>
      <c r="AQ290" s="537" t="str">
        <f>$AI$6</f>
        <v>Thousand tons CO₂e</v>
      </c>
      <c r="AR290" s="537" t="s">
        <v>4</v>
      </c>
    </row>
    <row r="291" spans="1:44" ht="22.35" customHeight="1" thickTop="1" x14ac:dyDescent="0.4">
      <c r="A291" s="1112" t="s">
        <v>80</v>
      </c>
      <c r="B291" s="1110" t="s">
        <v>326</v>
      </c>
      <c r="C291" s="1098" t="s">
        <v>48</v>
      </c>
      <c r="D291" s="39" t="s">
        <v>48</v>
      </c>
      <c r="E291" s="544" t="str">
        <f>'Talnagögn | Numerical Data'!$D$182</f>
        <v>Skógar</v>
      </c>
      <c r="F291" s="540" cm="1">
        <f t="array" ref="F291">INDEX('Talnagögn | Numerical Data'!$1:$1048576,_xlfn.XMATCH($A291,'Talnagögn | Numerical Data'!$A:$A),_xlfn.XMATCH($A$1,'Talnagögn | Numerical Data'!$1:$1))</f>
        <v>-548.98804168208767</v>
      </c>
      <c r="G291" s="547">
        <f>$F291/$F$296</f>
        <v>-8.7575739722943094E-2</v>
      </c>
      <c r="H291" s="1004" cm="1">
        <f t="array" ref="H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_xlfn.XMATCH($A$4,'Talnagögn | Numerical Data'!$1:$1))</f>
        <v>4.7080850659411908</v>
      </c>
      <c r="I291" s="550" cm="1">
        <f t="array" ref="I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_xlfn.XMATCH($A$4,'Talnagögn | Numerical Data'!$1:$1))-1</f>
        <v>-8.5030124620750769E-3</v>
      </c>
      <c r="J291" s="541" cm="1">
        <f t="array" ref="J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_xlfn.XMATCH($A$3,'Talnagögn | Numerical Data'!$1:$1))</f>
        <v>-408.70600072933848</v>
      </c>
      <c r="K291" s="542" cm="1">
        <f t="array" ref="K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_xlfn.XMATCH($A$3,'Talnagögn | Numerical Data'!$1:$1))-1</f>
        <v>2.9134591851782488</v>
      </c>
      <c r="M291" s="544" t="str">
        <f>'Talnagögn | Numerical Data'!$D$182</f>
        <v>Skógar</v>
      </c>
      <c r="N291" s="541" cm="1">
        <f t="array" ref="N291">INDEX('Talnagögn | Numerical Data'!$1:$1048576, _xlfn.XMATCH($B291,'Talnagögn | Numerical Data'!$B:$B), _xlfn.XMATCH($B$2,'Talnagögn | Numerical Data'!$1:$1))-INDEX('Talnagögn | Numerical Data'!$1:$1048576, _xlfn.XMATCH($A291,'Talnagögn | Numerical Data'!$B:$B), _xlfn.XMATCH($A$3,'Talnagögn | Numerical Data'!$1:$1))</f>
        <v>-536.73756797352826</v>
      </c>
      <c r="O291" s="542" cm="1">
        <f t="array" ref="O291">INDEX('Talnagögn | Numerical Data'!$1:$1048576, _xlfn.XMATCH($B291,'Talnagögn | Numerical Data'!$B:$B), _xlfn.XMATCH($B$2,'Talnagögn | Numerical Data'!$1:$1))/INDEX('Talnagögn | Numerical Data'!$1:$1048576, _xlfn.XMATCH($A291,'Talnagögn | Numerical Data'!$B:$B), _xlfn.XMATCH($A$3,'Talnagögn | Numerical Data'!$1:$1))-1</f>
        <v>3.8261317295370398</v>
      </c>
      <c r="AH291" s="544" t="str">
        <f>'Talnagögn | Numerical Data'!$E$182</f>
        <v>Forest Land</v>
      </c>
      <c r="AI291" s="540" cm="1">
        <f t="array" ref="AI291">INDEX('Talnagögn | Numerical Data'!$1:$1048576,_xlfn.XMATCH($A291,'Talnagögn | Numerical Data'!$A:$A),_xlfn.XMATCH($A$1,'Talnagögn | Numerical Data'!$1:$1))</f>
        <v>-548.98804168208767</v>
      </c>
      <c r="AJ291" s="547">
        <f>$F291/$F$296</f>
        <v>-8.7575739722943094E-2</v>
      </c>
      <c r="AK291" s="1004" cm="1">
        <f t="array" ref="AK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_xlfn.XMATCH($A$4,'Talnagögn | Numerical Data'!$1:$1))</f>
        <v>4.7080850659411908</v>
      </c>
      <c r="AL291" s="550" cm="1">
        <f t="array" ref="AL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_xlfn.XMATCH($A$4,'Talnagögn | Numerical Data'!$1:$1))-1</f>
        <v>-8.5030124620750769E-3</v>
      </c>
      <c r="AM291" s="541" cm="1">
        <f t="array" ref="AM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_xlfn.XMATCH($A$3,'Talnagögn | Numerical Data'!$1:$1))</f>
        <v>-408.70600072933848</v>
      </c>
      <c r="AN291" s="542" cm="1">
        <f t="array" ref="AN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_xlfn.XMATCH($A$3,'Talnagögn | Numerical Data'!$1:$1))-1</f>
        <v>2.9134591851782488</v>
      </c>
      <c r="AO291" s="542"/>
      <c r="AP291" s="544" t="str">
        <f>'Talnagögn | Numerical Data'!$E$182</f>
        <v>Forest Land</v>
      </c>
      <c r="AQ291" s="541" cm="1">
        <f t="array" ref="AQ291">INDEX('Talnagögn | Numerical Data'!$1:$1048576, _xlfn.XMATCH($B291,'Talnagögn | Numerical Data'!$B:$B), _xlfn.XMATCH($B$2,'Talnagögn | Numerical Data'!$1:$1))-INDEX('Talnagögn | Numerical Data'!$1:$1048576, _xlfn.XMATCH($A291,'Talnagögn | Numerical Data'!$B:$B), _xlfn.XMATCH($A$3,'Talnagögn | Numerical Data'!$1:$1))</f>
        <v>-536.73756797352826</v>
      </c>
      <c r="AR291" s="542" cm="1">
        <f t="array" ref="AR291">INDEX('Talnagögn | Numerical Data'!$1:$1048576, _xlfn.XMATCH($B291,'Talnagögn | Numerical Data'!$B:$B), _xlfn.XMATCH($B$2,'Talnagögn | Numerical Data'!$1:$1))/INDEX('Talnagögn | Numerical Data'!$1:$1048576, _xlfn.XMATCH($A291,'Talnagögn | Numerical Data'!$B:$B), _xlfn.XMATCH($A$3,'Talnagögn | Numerical Data'!$1:$1))-1</f>
        <v>3.8261317295370398</v>
      </c>
    </row>
    <row r="292" spans="1:44" ht="22.35" customHeight="1" x14ac:dyDescent="0.4">
      <c r="A292" s="1112" t="s">
        <v>81</v>
      </c>
      <c r="B292" s="1110" t="s">
        <v>327</v>
      </c>
      <c r="C292" s="1098" t="s">
        <v>48</v>
      </c>
      <c r="E292" s="545" t="str">
        <f>'Talnagögn | Numerical Data'!$D$183</f>
        <v>Ræktað land</v>
      </c>
      <c r="F292" s="540" cm="1">
        <f t="array" ref="F292">INDEX('Talnagögn | Numerical Data'!$1:$1048576,_xlfn.XMATCH($A292,'Talnagögn | Numerical Data'!$A:$A),_xlfn.XMATCH($A$1,'Talnagögn | Numerical Data'!$1:$1))</f>
        <v>1904.8811133888019</v>
      </c>
      <c r="G292" s="548">
        <f>$F292/$F$296</f>
        <v>0.30387068555837871</v>
      </c>
      <c r="H292" s="540" cm="1">
        <f t="array" ref="H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_xlfn.XMATCH($A$4,'Talnagögn | Numerical Data'!$1:$1))</f>
        <v>17.557132557972182</v>
      </c>
      <c r="I292" s="550" cm="1">
        <f t="array" ref="I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_xlfn.XMATCH($A$4,'Talnagögn | Numerical Data'!$1:$1))-1</f>
        <v>9.3026596049732291E-3</v>
      </c>
      <c r="J292" s="540" cm="1">
        <f t="array" ref="J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_xlfn.XMATCH($A$3,'Talnagögn | Numerical Data'!$1:$1))</f>
        <v>341.44121029678809</v>
      </c>
      <c r="K292" s="542" cm="1">
        <f t="array" ref="K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_xlfn.XMATCH($A$3,'Talnagögn | Numerical Data'!$1:$1))-1</f>
        <v>0.21839100410672652</v>
      </c>
      <c r="M292" s="545" t="str">
        <f>'Talnagögn | Numerical Data'!$D$183</f>
        <v>Ræktað land</v>
      </c>
      <c r="N292" s="541" cm="1">
        <f t="array" ref="N292">INDEX('Talnagögn | Numerical Data'!$1:$1048576, _xlfn.XMATCH($B292,'Talnagögn | Numerical Data'!$B:$B), _xlfn.XMATCH($B$2,'Talnagögn | Numerical Data'!$1:$1))-INDEX('Talnagögn | Numerical Data'!$1:$1048576, _xlfn.XMATCH($A292,'Talnagögn | Numerical Data'!$B:$B), _xlfn.XMATCH($A$3,'Talnagögn | Numerical Data'!$1:$1))</f>
        <v>445.17075287629609</v>
      </c>
      <c r="O292" s="542" cm="1">
        <f t="array" ref="O292">INDEX('Talnagögn | Numerical Data'!$1:$1048576, _xlfn.XMATCH($B292,'Talnagögn | Numerical Data'!$B:$B), _xlfn.XMATCH($B$2,'Talnagögn | Numerical Data'!$1:$1))/INDEX('Talnagögn | Numerical Data'!$1:$1048576, _xlfn.XMATCH($A292,'Talnagögn | Numerical Data'!$B:$B), _xlfn.XMATCH($A$3,'Talnagögn | Numerical Data'!$1:$1))-1</f>
        <v>0.2847380011191234</v>
      </c>
      <c r="AH292" s="545" t="str">
        <f>'Talnagögn | Numerical Data'!$E$183</f>
        <v>Cropland</v>
      </c>
      <c r="AI292" s="540" cm="1">
        <f t="array" ref="AI292">INDEX('Talnagögn | Numerical Data'!$1:$1048576,_xlfn.XMATCH($A292,'Talnagögn | Numerical Data'!$A:$A),_xlfn.XMATCH($A$1,'Talnagögn | Numerical Data'!$1:$1))</f>
        <v>1904.8811133888019</v>
      </c>
      <c r="AJ292" s="548">
        <f>$F292/$F$296</f>
        <v>0.30387068555837871</v>
      </c>
      <c r="AK292" s="540" cm="1">
        <f t="array" ref="AK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_xlfn.XMATCH($A$4,'Talnagögn | Numerical Data'!$1:$1))</f>
        <v>17.557132557972182</v>
      </c>
      <c r="AL292" s="550" cm="1">
        <f t="array" ref="AL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_xlfn.XMATCH($A$4,'Talnagögn | Numerical Data'!$1:$1))-1</f>
        <v>9.3026596049732291E-3</v>
      </c>
      <c r="AM292" s="540" cm="1">
        <f t="array" ref="AM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_xlfn.XMATCH($A$3,'Talnagögn | Numerical Data'!$1:$1))</f>
        <v>341.44121029678809</v>
      </c>
      <c r="AN292" s="542" cm="1">
        <f t="array" ref="AN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_xlfn.XMATCH($A$3,'Talnagögn | Numerical Data'!$1:$1))-1</f>
        <v>0.21839100410672652</v>
      </c>
      <c r="AO292" s="542"/>
      <c r="AP292" s="545" t="str">
        <f>'Talnagögn | Numerical Data'!$E$183</f>
        <v>Cropland</v>
      </c>
      <c r="AQ292" s="541" cm="1">
        <f t="array" ref="AQ292">INDEX('Talnagögn | Numerical Data'!$1:$1048576, _xlfn.XMATCH($B292,'Talnagögn | Numerical Data'!$B:$B), _xlfn.XMATCH($B$2,'Talnagögn | Numerical Data'!$1:$1))-INDEX('Talnagögn | Numerical Data'!$1:$1048576, _xlfn.XMATCH($A292,'Talnagögn | Numerical Data'!$B:$B), _xlfn.XMATCH($A$3,'Talnagögn | Numerical Data'!$1:$1))</f>
        <v>445.17075287629609</v>
      </c>
      <c r="AR292" s="542" cm="1">
        <f t="array" ref="AR292">INDEX('Talnagögn | Numerical Data'!$1:$1048576, _xlfn.XMATCH($B292,'Talnagögn | Numerical Data'!$B:$B), _xlfn.XMATCH($B$2,'Talnagögn | Numerical Data'!$1:$1))/INDEX('Talnagögn | Numerical Data'!$1:$1048576, _xlfn.XMATCH($A292,'Talnagögn | Numerical Data'!$B:$B), _xlfn.XMATCH($A$3,'Talnagögn | Numerical Data'!$1:$1))-1</f>
        <v>0.2847380011191234</v>
      </c>
    </row>
    <row r="293" spans="1:44" ht="22.35" customHeight="1" x14ac:dyDescent="0.4">
      <c r="A293" s="1112" t="s">
        <v>82</v>
      </c>
      <c r="B293" s="1110" t="s">
        <v>328</v>
      </c>
      <c r="C293" s="1098" t="s">
        <v>48</v>
      </c>
      <c r="E293" s="545" t="str">
        <f>'Talnagögn | Numerical Data'!$D$184</f>
        <v>Mólendi</v>
      </c>
      <c r="F293" s="540" cm="1">
        <f t="array" ref="F293">INDEX('Talnagögn | Numerical Data'!$1:$1048576,_xlfn.XMATCH($A293,'Talnagögn | Numerical Data'!$A:$A),_xlfn.XMATCH($A$1,'Talnagögn | Numerical Data'!$1:$1))</f>
        <v>4860.0545959973206</v>
      </c>
      <c r="G293" s="548">
        <f>$F293/$F$296</f>
        <v>0.77528624309239091</v>
      </c>
      <c r="H293" s="546" cm="1">
        <f t="array" ref="H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_xlfn.XMATCH($A$4,'Talnagögn | Numerical Data'!$1:$1))</f>
        <v>-5.3273765659932906</v>
      </c>
      <c r="I293" s="550" cm="1">
        <f t="array" ref="I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_xlfn.XMATCH($A$4,'Talnagögn | Numerical Data'!$1:$1))-1</f>
        <v>-1.0949554620860447E-3</v>
      </c>
      <c r="J293" s="540" cm="1">
        <f t="array" ref="J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_xlfn.XMATCH($A$3,'Talnagögn | Numerical Data'!$1:$1))</f>
        <v>88.175057281830959</v>
      </c>
      <c r="K293" s="543" cm="1">
        <f t="array" ref="K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_xlfn.XMATCH($A$3,'Talnagögn | Numerical Data'!$1:$1))-1</f>
        <v>1.8478055987466657E-2</v>
      </c>
      <c r="M293" s="545" t="str">
        <f>'Talnagögn | Numerical Data'!$D$184</f>
        <v>Mólendi</v>
      </c>
      <c r="N293" s="541" cm="1">
        <f t="array" ref="N293">INDEX('Talnagögn | Numerical Data'!$1:$1048576, _xlfn.XMATCH($B293,'Talnagögn | Numerical Data'!$B:$B), _xlfn.XMATCH($B$2,'Talnagögn | Numerical Data'!$1:$1))-INDEX('Talnagögn | Numerical Data'!$1:$1048576, _xlfn.XMATCH($A293,'Talnagögn | Numerical Data'!$B:$B), _xlfn.XMATCH($A$3,'Talnagögn | Numerical Data'!$1:$1))</f>
        <v>-42.265103509317669</v>
      </c>
      <c r="O293" s="1033" cm="1">
        <f t="array" ref="O293">INDEX('Talnagögn | Numerical Data'!$1:$1048576, _xlfn.XMATCH($B293,'Talnagögn | Numerical Data'!$B:$B), _xlfn.XMATCH($B$2,'Talnagögn | Numerical Data'!$1:$1))/INDEX('Talnagögn | Numerical Data'!$1:$1048576, _xlfn.XMATCH($A293,'Talnagögn | Numerical Data'!$B:$B), _xlfn.XMATCH($A$3,'Talnagögn | Numerical Data'!$1:$1))-1</f>
        <v>-8.8571187026851295E-3</v>
      </c>
      <c r="AH293" s="545" t="str">
        <f>'Talnagögn | Numerical Data'!$E$184</f>
        <v>Grassland</v>
      </c>
      <c r="AI293" s="540" cm="1">
        <f t="array" ref="AI293">INDEX('Talnagögn | Numerical Data'!$1:$1048576,_xlfn.XMATCH($A293,'Talnagögn | Numerical Data'!$A:$A),_xlfn.XMATCH($A$1,'Talnagögn | Numerical Data'!$1:$1))</f>
        <v>4860.0545959973206</v>
      </c>
      <c r="AJ293" s="548">
        <f>$F293/$F$296</f>
        <v>0.77528624309239091</v>
      </c>
      <c r="AK293" s="546" cm="1">
        <f t="array" ref="AK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_xlfn.XMATCH($A$4,'Talnagögn | Numerical Data'!$1:$1))</f>
        <v>-5.3273765659932906</v>
      </c>
      <c r="AL293" s="550" cm="1">
        <f t="array" ref="AL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_xlfn.XMATCH($A$4,'Talnagögn | Numerical Data'!$1:$1))-1</f>
        <v>-1.0949554620860447E-3</v>
      </c>
      <c r="AM293" s="540" cm="1">
        <f t="array" ref="AM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_xlfn.XMATCH($A$3,'Talnagögn | Numerical Data'!$1:$1))</f>
        <v>88.175057281830959</v>
      </c>
      <c r="AN293" s="543" cm="1">
        <f t="array" ref="AN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_xlfn.XMATCH($A$3,'Talnagögn | Numerical Data'!$1:$1))-1</f>
        <v>1.8478055987466657E-2</v>
      </c>
      <c r="AO293" s="543"/>
      <c r="AP293" s="545" t="str">
        <f>'Talnagögn | Numerical Data'!$E$184</f>
        <v>Grassland</v>
      </c>
      <c r="AQ293" s="541" cm="1">
        <f t="array" ref="AQ293">INDEX('Talnagögn | Numerical Data'!$1:$1048576, _xlfn.XMATCH($B293,'Talnagögn | Numerical Data'!$B:$B), _xlfn.XMATCH($B$2,'Talnagögn | Numerical Data'!$1:$1))-INDEX('Talnagögn | Numerical Data'!$1:$1048576, _xlfn.XMATCH($A293,'Talnagögn | Numerical Data'!$B:$B), _xlfn.XMATCH($A$3,'Talnagögn | Numerical Data'!$1:$1))</f>
        <v>-42.265103509317669</v>
      </c>
      <c r="AR293" s="1033" cm="1">
        <f t="array" ref="AR293">INDEX('Talnagögn | Numerical Data'!$1:$1048576, _xlfn.XMATCH($B293,'Talnagögn | Numerical Data'!$B:$B), _xlfn.XMATCH($B$2,'Talnagögn | Numerical Data'!$1:$1))/INDEX('Talnagögn | Numerical Data'!$1:$1048576, _xlfn.XMATCH($A293,'Talnagögn | Numerical Data'!$B:$B), _xlfn.XMATCH($A$3,'Talnagögn | Numerical Data'!$1:$1))-1</f>
        <v>-8.8571187026851295E-3</v>
      </c>
    </row>
    <row r="294" spans="1:44" ht="22.35" customHeight="1" x14ac:dyDescent="0.4">
      <c r="A294" s="1112" t="s">
        <v>83</v>
      </c>
      <c r="B294" s="1110" t="s">
        <v>329</v>
      </c>
      <c r="C294" s="1098" t="s">
        <v>48</v>
      </c>
      <c r="E294" s="545" t="str">
        <f>'Talnagögn | Numerical Data'!$D$185</f>
        <v>Votlendi</v>
      </c>
      <c r="F294" s="540" cm="1">
        <f t="array" ref="F294">INDEX('Talnagögn | Numerical Data'!$1:$1048576,_xlfn.XMATCH($A294,'Talnagögn | Numerical Data'!$A:$A),_xlfn.XMATCH($A$1,'Talnagögn | Numerical Data'!$1:$1))</f>
        <v>17.217344451352297</v>
      </c>
      <c r="G294" s="550">
        <f>$F294/$F$296</f>
        <v>2.7465473961362685E-3</v>
      </c>
      <c r="H294" s="1030" cm="1">
        <f t="array" ref="H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_xlfn.XMATCH($A$4,'Talnagögn | Numerical Data'!$1:$1))</f>
        <v>6.7826666666665147E-2</v>
      </c>
      <c r="I294" s="550" cm="1">
        <f t="array" ref="I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_xlfn.XMATCH($A$4,'Talnagögn | Numerical Data'!$1:$1))-1</f>
        <v>3.9550188826436017E-3</v>
      </c>
      <c r="J294" s="546" cm="1">
        <f t="array" ref="J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_xlfn.XMATCH($A$3,'Talnagögn | Numerical Data'!$1:$1))</f>
        <v>-2.2265922599370782</v>
      </c>
      <c r="K294" s="542" cm="1">
        <f t="array" ref="K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_xlfn.XMATCH($A$3,'Talnagögn | Numerical Data'!$1:$1))-1</f>
        <v>-0.11451344925661544</v>
      </c>
      <c r="M294" s="545" t="str">
        <f>'Talnagögn | Numerical Data'!$D$185</f>
        <v>Votlendi</v>
      </c>
      <c r="N294" s="541" cm="1">
        <f t="array" ref="N294">INDEX('Talnagögn | Numerical Data'!$1:$1048576, _xlfn.XMATCH($B294,'Talnagögn | Numerical Data'!$B:$B), _xlfn.XMATCH($B$2,'Talnagögn | Numerical Data'!$1:$1))-INDEX('Talnagögn | Numerical Data'!$1:$1048576, _xlfn.XMATCH($A294,'Talnagögn | Numerical Data'!$B:$B), _xlfn.XMATCH($A$3,'Talnagögn | Numerical Data'!$1:$1))</f>
        <v>10.466342135460096</v>
      </c>
      <c r="O294" s="542" cm="1">
        <f t="array" ref="O294">INDEX('Talnagögn | Numerical Data'!$1:$1048576, _xlfn.XMATCH($B294,'Talnagögn | Numerical Data'!$B:$B), _xlfn.XMATCH($B$2,'Talnagögn | Numerical Data'!$1:$1))/INDEX('Talnagögn | Numerical Data'!$1:$1048576, _xlfn.XMATCH($A294,'Talnagögn | Numerical Data'!$B:$B), _xlfn.XMATCH($A$3,'Talnagögn | Numerical Data'!$1:$1))-1</f>
        <v>0.53828307975222001</v>
      </c>
      <c r="AH294" s="545" t="str">
        <f>'Talnagögn | Numerical Data'!$E$185</f>
        <v>Wetlands</v>
      </c>
      <c r="AI294" s="540" cm="1">
        <f t="array" ref="AI294">INDEX('Talnagögn | Numerical Data'!$1:$1048576,_xlfn.XMATCH($A294,'Talnagögn | Numerical Data'!$A:$A),_xlfn.XMATCH($A$1,'Talnagögn | Numerical Data'!$1:$1))</f>
        <v>17.217344451352297</v>
      </c>
      <c r="AJ294" s="550">
        <f>$F294/$F$296</f>
        <v>2.7465473961362685E-3</v>
      </c>
      <c r="AK294" s="1030" cm="1">
        <f t="array" ref="AK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_xlfn.XMATCH($A$4,'Talnagögn | Numerical Data'!$1:$1))</f>
        <v>6.7826666666665147E-2</v>
      </c>
      <c r="AL294" s="550" cm="1">
        <f t="array" ref="AL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_xlfn.XMATCH($A$4,'Talnagögn | Numerical Data'!$1:$1))-1</f>
        <v>3.9550188826436017E-3</v>
      </c>
      <c r="AM294" s="546" cm="1">
        <f t="array" ref="AM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_xlfn.XMATCH($A$3,'Talnagögn | Numerical Data'!$1:$1))</f>
        <v>-2.2265922599370782</v>
      </c>
      <c r="AN294" s="542" cm="1">
        <f t="array" ref="AN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_xlfn.XMATCH($A$3,'Talnagögn | Numerical Data'!$1:$1))-1</f>
        <v>-0.11451344925661544</v>
      </c>
      <c r="AO294" s="543"/>
      <c r="AP294" s="545" t="str">
        <f>'Talnagögn | Numerical Data'!$E$185</f>
        <v>Wetlands</v>
      </c>
      <c r="AQ294" s="541" cm="1">
        <f t="array" ref="AQ294">INDEX('Talnagögn | Numerical Data'!$1:$1048576, _xlfn.XMATCH($B294,'Talnagögn | Numerical Data'!$B:$B), _xlfn.XMATCH($B$2,'Talnagögn | Numerical Data'!$1:$1))-INDEX('Talnagögn | Numerical Data'!$1:$1048576, _xlfn.XMATCH($A294,'Talnagögn | Numerical Data'!$B:$B), _xlfn.XMATCH($A$3,'Talnagögn | Numerical Data'!$1:$1))</f>
        <v>10.466342135460096</v>
      </c>
      <c r="AR294" s="542" cm="1">
        <f t="array" ref="AR294">INDEX('Talnagögn | Numerical Data'!$1:$1048576, _xlfn.XMATCH($B294,'Talnagögn | Numerical Data'!$B:$B), _xlfn.XMATCH($B$2,'Talnagögn | Numerical Data'!$1:$1))/INDEX('Talnagögn | Numerical Data'!$1:$1048576, _xlfn.XMATCH($A294,'Talnagögn | Numerical Data'!$B:$B), _xlfn.XMATCH($A$3,'Talnagögn | Numerical Data'!$1:$1))-1</f>
        <v>0.53828307975222001</v>
      </c>
    </row>
    <row r="295" spans="1:44" ht="22.35" customHeight="1" x14ac:dyDescent="0.4">
      <c r="A295" s="1112" t="s">
        <v>97</v>
      </c>
      <c r="B295" s="1110" t="s">
        <v>330</v>
      </c>
      <c r="C295" s="1098" t="s">
        <v>48</v>
      </c>
      <c r="E295" s="551" t="str">
        <f>'Talnagögn | Numerical Data'!$D$186</f>
        <v>Önnur losun</v>
      </c>
      <c r="F295" s="552" cm="1">
        <f t="array" ref="F295">INDEX('Talnagögn | Numerical Data'!$1:$1048576,_xlfn.XMATCH($A295,'Talnagögn | Numerical Data'!$A:$A),_xlfn.XMATCH($A$1,'Talnagögn | Numerical Data'!$1:$1))</f>
        <v>35.557848980364724</v>
      </c>
      <c r="G295" s="553">
        <f>$F295/$F$296</f>
        <v>5.6722636760372655E-3</v>
      </c>
      <c r="H295" s="554" cm="1">
        <f t="array" ref="H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_xlfn.XMATCH($A$4,'Talnagögn | Numerical Data'!$1:$1))</f>
        <v>4.712263583346612</v>
      </c>
      <c r="I295" s="555" cm="1">
        <f t="array" ref="I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_xlfn.XMATCH($A$4,'Talnagögn | Numerical Data'!$1:$1))-1</f>
        <v>0.15276946515017853</v>
      </c>
      <c r="J295" s="552" cm="1">
        <f t="array" ref="J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_xlfn.XMATCH($A$3,'Talnagögn | Numerical Data'!$1:$1))</f>
        <v>-18.115069850681721</v>
      </c>
      <c r="K295" s="556" cm="1">
        <f t="array" ref="K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_xlfn.XMATCH($A$3,'Talnagögn | Numerical Data'!$1:$1))-1</f>
        <v>-0.33750856568290977</v>
      </c>
      <c r="M295" s="551" t="str">
        <f>'Talnagögn | Numerical Data'!$D$186</f>
        <v>Önnur losun</v>
      </c>
      <c r="N295" s="561" cm="1">
        <f t="array" ref="N295">INDEX('Talnagögn | Numerical Data'!$1:$1048576, _xlfn.XMATCH($B295,'Talnagögn | Numerical Data'!$B:$B), _xlfn.XMATCH($B$2,'Talnagögn | Numerical Data'!$1:$1))-INDEX('Talnagögn | Numerical Data'!$1:$1048576, _xlfn.XMATCH($A295,'Talnagögn | Numerical Data'!$B:$B), _xlfn.XMATCH($A$3,'Talnagögn | Numerical Data'!$1:$1))</f>
        <v>-19.080902317597975</v>
      </c>
      <c r="O295" s="556" cm="1">
        <f t="array" ref="O295">INDEX('Talnagögn | Numerical Data'!$1:$1048576, _xlfn.XMATCH($B295,'Talnagögn | Numerical Data'!$B:$B), _xlfn.XMATCH($B$2,'Talnagögn | Numerical Data'!$1:$1))/INDEX('Talnagögn | Numerical Data'!$1:$1048576, _xlfn.XMATCH($A295,'Talnagögn | Numerical Data'!$B:$B), _xlfn.XMATCH($A$3,'Talnagögn | Numerical Data'!$1:$1))-1</f>
        <v>-0.35550334755710844</v>
      </c>
      <c r="AH295" s="551" t="str">
        <f>'Talnagögn | Numerical Data'!$E$186</f>
        <v>Other Emissions</v>
      </c>
      <c r="AI295" s="552" cm="1">
        <f t="array" ref="AI295">INDEX('Talnagögn | Numerical Data'!$1:$1048576,_xlfn.XMATCH($A295,'Talnagögn | Numerical Data'!$A:$A),_xlfn.XMATCH($A$1,'Talnagögn | Numerical Data'!$1:$1))</f>
        <v>35.557848980364724</v>
      </c>
      <c r="AJ295" s="553">
        <f>$F295/$F$296</f>
        <v>5.6722636760372655E-3</v>
      </c>
      <c r="AK295" s="554" cm="1">
        <f t="array" ref="AK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_xlfn.XMATCH($A$4,'Talnagögn | Numerical Data'!$1:$1))</f>
        <v>4.712263583346612</v>
      </c>
      <c r="AL295" s="555" cm="1">
        <f t="array" ref="AL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_xlfn.XMATCH($A$4,'Talnagögn | Numerical Data'!$1:$1))-1</f>
        <v>0.15276946515017853</v>
      </c>
      <c r="AM295" s="552" cm="1">
        <f t="array" ref="AM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_xlfn.XMATCH($A$3,'Talnagögn | Numerical Data'!$1:$1))</f>
        <v>-18.115069850681721</v>
      </c>
      <c r="AN295" s="556" cm="1">
        <f t="array" ref="AN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_xlfn.XMATCH($A$3,'Talnagögn | Numerical Data'!$1:$1))-1</f>
        <v>-0.33750856568290977</v>
      </c>
      <c r="AO295" s="543"/>
      <c r="AP295" s="551" t="str">
        <f>'Talnagögn | Numerical Data'!$E$186</f>
        <v>Other Emissions</v>
      </c>
      <c r="AQ295" s="561" cm="1">
        <f t="array" ref="AQ295">INDEX('Talnagögn | Numerical Data'!$1:$1048576, _xlfn.XMATCH($B295,'Talnagögn | Numerical Data'!$B:$B), _xlfn.XMATCH($B$2,'Talnagögn | Numerical Data'!$1:$1))-INDEX('Talnagögn | Numerical Data'!$1:$1048576, _xlfn.XMATCH($A295,'Talnagögn | Numerical Data'!$B:$B), _xlfn.XMATCH($A$3,'Talnagögn | Numerical Data'!$1:$1))</f>
        <v>-19.080902317597975</v>
      </c>
      <c r="AR295" s="556" cm="1">
        <f t="array" ref="AR295">INDEX('Talnagögn | Numerical Data'!$1:$1048576, _xlfn.XMATCH($B295,'Talnagögn | Numerical Data'!$B:$B), _xlfn.XMATCH($B$2,'Talnagögn | Numerical Data'!$1:$1))/INDEX('Talnagögn | Numerical Data'!$1:$1048576, _xlfn.XMATCH($A295,'Talnagögn | Numerical Data'!$B:$B), _xlfn.XMATCH($A$3,'Talnagögn | Numerical Data'!$1:$1))-1</f>
        <v>-0.35550334755710844</v>
      </c>
    </row>
    <row r="296" spans="1:44" ht="24" customHeight="1" x14ac:dyDescent="0.4">
      <c r="A296" s="1112" t="s">
        <v>45</v>
      </c>
      <c r="B296" s="1112" t="s">
        <v>269</v>
      </c>
      <c r="C296" s="1098" t="s">
        <v>48</v>
      </c>
      <c r="E296" s="557" t="s">
        <v>12</v>
      </c>
      <c r="F296" s="558" cm="1">
        <f t="array" ref="F296">INDEX('Talnagögn | Numerical Data'!$1:$1048576,_xlfn.XMATCH($A296,'Talnagögn | Numerical Data'!$A:$A),_xlfn.XMATCH($A$1,'Talnagögn | Numerical Data'!$1:$1))</f>
        <v>6268.7228611357514</v>
      </c>
      <c r="G296" s="559">
        <f>SUM(G291:G295)</f>
        <v>1</v>
      </c>
      <c r="H296" s="558" cm="1">
        <f t="array" ref="H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_xlfn.XMATCH($A$4,'Talnagögn | Numerical Data'!$1:$1))</f>
        <v>21.717931307933213</v>
      </c>
      <c r="I296" s="1031" cm="1">
        <f t="array" ref="I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_xlfn.XMATCH($A$4,'Talnagögn | Numerical Data'!$1:$1))-1</f>
        <v>3.4765350038761245E-3</v>
      </c>
      <c r="J296" s="560" cm="1">
        <f t="array" ref="J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_xlfn.XMATCH($A$3,'Talnagögn | Numerical Data'!$1:$1))</f>
        <v>0.56860473866163375</v>
      </c>
      <c r="K296" s="1032" cm="1">
        <f t="array" ref="K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_xlfn.XMATCH($A$3,'Talnagögn | Numerical Data'!$1:$1))-1</f>
        <v>9.0713265086250772E-5</v>
      </c>
      <c r="M296" s="557" t="s">
        <v>12</v>
      </c>
      <c r="N296" s="562" cm="1">
        <f t="array" ref="N296">INDEX('Talnagögn | Numerical Data'!$1:$1048576, _xlfn.XMATCH($B296,'Talnagögn | Numerical Data'!$B:$B), _xlfn.XMATCH($B$2,'Talnagögn | Numerical Data'!$1:$1))-INDEX('Talnagögn | Numerical Data'!$1:$1048576, _xlfn.XMATCH($A296,'Talnagögn | Numerical Data'!$B:$B), _xlfn.XMATCH($A$3,'Talnagögn | Numerical Data'!$1:$1))</f>
        <v>-142.44647878868727</v>
      </c>
      <c r="O296" s="563" cm="1">
        <f t="array" ref="O296">INDEX('Talnagögn | Numerical Data'!$1:$1048576, _xlfn.XMATCH($B296,'Talnagögn | Numerical Data'!$B:$B), _xlfn.XMATCH($B$2,'Talnagögn | Numerical Data'!$1:$1))/INDEX('Talnagögn | Numerical Data'!$1:$1048576, _xlfn.XMATCH($A296,'Talnagögn | Numerical Data'!$B:$B), _xlfn.XMATCH($A$3,'Talnagögn | Numerical Data'!$1:$1))-1</f>
        <v>-2.2725426491109535E-2</v>
      </c>
      <c r="AH296" s="557" t="s">
        <v>164</v>
      </c>
      <c r="AI296" s="558" cm="1">
        <f t="array" ref="AI296">INDEX('Talnagögn | Numerical Data'!$1:$1048576,_xlfn.XMATCH($A296,'Talnagögn | Numerical Data'!$A:$A),_xlfn.XMATCH($A$1,'Talnagögn | Numerical Data'!$1:$1))</f>
        <v>6268.7228611357514</v>
      </c>
      <c r="AJ296" s="559">
        <f>SUM(AJ291:AJ295)</f>
        <v>1</v>
      </c>
      <c r="AK296" s="558" cm="1">
        <f t="array" ref="AK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_xlfn.XMATCH($A$4,'Talnagögn | Numerical Data'!$1:$1))</f>
        <v>21.717931307933213</v>
      </c>
      <c r="AL296" s="1031" cm="1">
        <f t="array" ref="AL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_xlfn.XMATCH($A$4,'Talnagögn | Numerical Data'!$1:$1))-1</f>
        <v>3.4765350038761245E-3</v>
      </c>
      <c r="AM296" s="560" cm="1">
        <f t="array" ref="AM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_xlfn.XMATCH($A$3,'Talnagögn | Numerical Data'!$1:$1))</f>
        <v>0.56860473866163375</v>
      </c>
      <c r="AN296" s="1032" cm="1">
        <f t="array" ref="AN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_xlfn.XMATCH($A$3,'Talnagögn | Numerical Data'!$1:$1))-1</f>
        <v>9.0713265086250772E-5</v>
      </c>
      <c r="AO296" s="543"/>
      <c r="AP296" s="557" t="s">
        <v>164</v>
      </c>
      <c r="AQ296" s="562" cm="1">
        <f t="array" ref="AQ296">INDEX('Talnagögn | Numerical Data'!$1:$1048576, _xlfn.XMATCH($B296,'Talnagögn | Numerical Data'!$B:$B), _xlfn.XMATCH($B$2,'Talnagögn | Numerical Data'!$1:$1))-INDEX('Talnagögn | Numerical Data'!$1:$1048576, _xlfn.XMATCH($A296,'Talnagögn | Numerical Data'!$B:$B), _xlfn.XMATCH($A$3,'Talnagögn | Numerical Data'!$1:$1))</f>
        <v>-142.44647878868727</v>
      </c>
      <c r="AR296" s="563" cm="1">
        <f t="array" ref="AR296">INDEX('Talnagögn | Numerical Data'!$1:$1048576, _xlfn.XMATCH($B296,'Talnagögn | Numerical Data'!$B:$B), _xlfn.XMATCH($B$2,'Talnagögn | Numerical Data'!$1:$1))/INDEX('Talnagögn | Numerical Data'!$1:$1048576, _xlfn.XMATCH($A296,'Talnagögn | Numerical Data'!$B:$B), _xlfn.XMATCH($A$3,'Talnagögn | Numerical Data'!$1:$1))-1</f>
        <v>-2.2725426491109535E-2</v>
      </c>
    </row>
    <row r="297" spans="1:44" x14ac:dyDescent="0.4">
      <c r="AO297" s="543"/>
    </row>
    <row r="298" spans="1:44" x14ac:dyDescent="0.4">
      <c r="AO298" s="543"/>
    </row>
    <row r="320" spans="1:43" s="566" customFormat="1" ht="27" customHeight="1" x14ac:dyDescent="0.4">
      <c r="A320" s="1119"/>
      <c r="B320" s="1119"/>
      <c r="C320" s="1105"/>
      <c r="E320" s="566" t="s">
        <v>34</v>
      </c>
      <c r="AF320" s="567"/>
      <c r="AH320" s="566" t="s">
        <v>168</v>
      </c>
      <c r="AI320" s="568"/>
      <c r="AK320" s="568"/>
      <c r="AM320" s="568"/>
      <c r="AQ320" s="568"/>
    </row>
    <row r="343" spans="1:43" s="566" customFormat="1" ht="27" customHeight="1" x14ac:dyDescent="0.4">
      <c r="A343" s="1119"/>
      <c r="B343" s="1119"/>
      <c r="C343" s="1105"/>
      <c r="E343" s="566" t="str">
        <f>$E$65</f>
        <v>FRAMREIKNUÐ LOSUN (SVIÐSMYND MEÐ NÚGILDANDI AÐGERÐUM)</v>
      </c>
      <c r="AF343" s="567"/>
      <c r="AH343" s="566" t="str">
        <f>$AH$65</f>
        <v>EMISSION PROJECTIONS (WITH EXISTING MEASURES SCENARIO)</v>
      </c>
      <c r="AI343" s="568"/>
      <c r="AK343" s="568"/>
      <c r="AM343" s="568"/>
      <c r="AQ343" s="568"/>
    </row>
    <row r="344" spans="1:43" x14ac:dyDescent="0.4">
      <c r="B344" s="1035"/>
      <c r="C344" s="1106"/>
      <c r="D344" s="245" t="s">
        <v>48</v>
      </c>
      <c r="AI344" s="40"/>
      <c r="AK344" s="40"/>
      <c r="AM344" s="40"/>
      <c r="AQ344" s="40"/>
    </row>
    <row r="345" spans="1:43" x14ac:dyDescent="0.4">
      <c r="B345" s="1035"/>
      <c r="C345" s="1106"/>
      <c r="D345" s="245" t="s">
        <v>48</v>
      </c>
      <c r="AI345" s="40"/>
      <c r="AK345" s="40"/>
      <c r="AM345" s="40"/>
      <c r="AQ345" s="40"/>
    </row>
    <row r="346" spans="1:43" s="8" customFormat="1" x14ac:dyDescent="0.4">
      <c r="A346" s="1035"/>
      <c r="B346" s="1035"/>
      <c r="C346" s="1099"/>
      <c r="AF346" s="216"/>
    </row>
    <row r="347" spans="1:43" s="8" customFormat="1" x14ac:dyDescent="0.4">
      <c r="A347" s="1035"/>
      <c r="B347" s="1035"/>
      <c r="C347" s="1099"/>
      <c r="AF347" s="216"/>
    </row>
    <row r="348" spans="1:43" s="8" customFormat="1" x14ac:dyDescent="0.4">
      <c r="A348" s="1035"/>
      <c r="B348" s="1035"/>
      <c r="C348" s="1099"/>
      <c r="AF348" s="216"/>
    </row>
    <row r="349" spans="1:43" s="8" customFormat="1" x14ac:dyDescent="0.4">
      <c r="A349" s="1035"/>
      <c r="B349" s="1035"/>
      <c r="C349" s="1099"/>
      <c r="AF349" s="216"/>
    </row>
    <row r="350" spans="1:43" s="8" customFormat="1" x14ac:dyDescent="0.4">
      <c r="A350" s="1035"/>
      <c r="B350" s="1112"/>
      <c r="C350" s="1099"/>
      <c r="AF350" s="216"/>
    </row>
    <row r="351" spans="1:43" s="8" customFormat="1" x14ac:dyDescent="0.4">
      <c r="A351" s="1035"/>
      <c r="B351" s="1112"/>
      <c r="C351" s="1099"/>
      <c r="AF351" s="216"/>
    </row>
    <row r="352" spans="1:43" s="8" customFormat="1" x14ac:dyDescent="0.4">
      <c r="A352" s="1035"/>
      <c r="B352" s="1035"/>
      <c r="C352" s="1099"/>
      <c r="AF352" s="216"/>
    </row>
    <row r="353" spans="1:32" s="8" customFormat="1" x14ac:dyDescent="0.4">
      <c r="A353" s="1035"/>
      <c r="B353" s="1035"/>
      <c r="C353" s="1099"/>
      <c r="AF353" s="216"/>
    </row>
    <row r="354" spans="1:32" s="8" customFormat="1" x14ac:dyDescent="0.4">
      <c r="A354" s="1035"/>
      <c r="B354" s="1035"/>
      <c r="C354" s="1099"/>
      <c r="AF354" s="216"/>
    </row>
    <row r="355" spans="1:32" s="8" customFormat="1" x14ac:dyDescent="0.4">
      <c r="A355" s="1035"/>
      <c r="B355" s="1035"/>
      <c r="C355" s="1099"/>
      <c r="AF355" s="216"/>
    </row>
    <row r="356" spans="1:32" s="8" customFormat="1" x14ac:dyDescent="0.4">
      <c r="A356" s="1035"/>
      <c r="B356" s="1035"/>
      <c r="C356" s="1099"/>
      <c r="AF356" s="216"/>
    </row>
    <row r="357" spans="1:32" s="8" customFormat="1" x14ac:dyDescent="0.4">
      <c r="A357" s="1035"/>
      <c r="B357" s="1035"/>
      <c r="C357" s="1099"/>
      <c r="AF357" s="216"/>
    </row>
    <row r="358" spans="1:32" s="8" customFormat="1" x14ac:dyDescent="0.4">
      <c r="A358" s="1035"/>
      <c r="B358" s="1035"/>
      <c r="C358" s="1099"/>
      <c r="AF358" s="216"/>
    </row>
    <row r="359" spans="1:32" s="8" customFormat="1" x14ac:dyDescent="0.4">
      <c r="A359" s="1035"/>
      <c r="B359" s="1035"/>
      <c r="C359" s="1099"/>
      <c r="AF359" s="216"/>
    </row>
    <row r="360" spans="1:32" s="8" customFormat="1" x14ac:dyDescent="0.4">
      <c r="A360" s="1035"/>
      <c r="B360" s="1035"/>
      <c r="C360" s="1099"/>
      <c r="AF360" s="216"/>
    </row>
    <row r="361" spans="1:32" s="8" customFormat="1" x14ac:dyDescent="0.4">
      <c r="A361" s="1035"/>
      <c r="B361" s="1035"/>
      <c r="C361" s="1099"/>
      <c r="AF361" s="216"/>
    </row>
    <row r="362" spans="1:32" s="8" customFormat="1" x14ac:dyDescent="0.4">
      <c r="A362" s="1035"/>
      <c r="B362" s="1035"/>
      <c r="C362" s="1099"/>
      <c r="AF362" s="216"/>
    </row>
    <row r="363" spans="1:32" s="8" customFormat="1" x14ac:dyDescent="0.4">
      <c r="A363" s="1035"/>
      <c r="B363" s="1035"/>
      <c r="C363" s="1099"/>
      <c r="AF363" s="216"/>
    </row>
    <row r="364" spans="1:32" s="8" customFormat="1" x14ac:dyDescent="0.4">
      <c r="A364" s="1035"/>
      <c r="B364" s="1035"/>
      <c r="C364" s="1099"/>
      <c r="AF364" s="216"/>
    </row>
    <row r="369" spans="1:44" s="572" customFormat="1" ht="83.25" customHeight="1" x14ac:dyDescent="0.4">
      <c r="A369" s="1120"/>
      <c r="B369" s="1120"/>
      <c r="C369" s="1107"/>
      <c r="E369" s="1081" t="s">
        <v>413</v>
      </c>
      <c r="AF369" s="573"/>
      <c r="AH369" s="1081" t="s">
        <v>414</v>
      </c>
      <c r="AI369" s="574"/>
      <c r="AK369" s="574"/>
      <c r="AM369" s="574"/>
      <c r="AQ369" s="574"/>
    </row>
    <row r="371" spans="1:44" ht="52.2" customHeight="1" x14ac:dyDescent="0.4">
      <c r="C371" s="1098" t="s">
        <v>48</v>
      </c>
      <c r="D371" s="39" t="s">
        <v>48</v>
      </c>
      <c r="E371" s="1141" t="str">
        <f>"STAÐAN ÁRIÐ "&amp;$A$1</f>
        <v>STAÐAN ÁRIÐ 2024</v>
      </c>
      <c r="F371" s="1149"/>
      <c r="G371" s="1150"/>
      <c r="H371" s="1150"/>
      <c r="I371" s="1150"/>
      <c r="J371" s="1150"/>
      <c r="K371" s="1150"/>
      <c r="L371" s="583"/>
      <c r="M371" s="1141" t="s">
        <v>403</v>
      </c>
      <c r="N371" s="1151" t="str">
        <f>$N$4</f>
        <v>Áætluð breyting í losun milli 2005 og 2030</v>
      </c>
      <c r="O371" s="1152"/>
      <c r="AH371" s="1141" t="str">
        <f>$A$1&amp;" EMISSIONS"</f>
        <v>2024 EMISSIONS</v>
      </c>
      <c r="AI371" s="1188"/>
      <c r="AJ371" s="1189"/>
      <c r="AK371" s="1189"/>
      <c r="AL371" s="1189"/>
      <c r="AM371" s="1189"/>
      <c r="AN371" s="1189"/>
      <c r="AO371" s="583"/>
      <c r="AP371" s="1141" t="s">
        <v>402</v>
      </c>
      <c r="AQ371" s="1190" t="str">
        <f>$AQ$4</f>
        <v>Estimated change in emissions between 2005 and 2030</v>
      </c>
      <c r="AR371" s="1191"/>
    </row>
    <row r="372" spans="1:44" ht="33" customHeight="1" x14ac:dyDescent="0.4">
      <c r="E372" s="1141"/>
      <c r="F372" s="1181" t="str">
        <f>$F$5</f>
        <v>Losun 2024</v>
      </c>
      <c r="G372" s="1182"/>
      <c r="H372" s="1182" t="str">
        <f>$H$5</f>
        <v>Breyting frá 2023</v>
      </c>
      <c r="I372" s="1183"/>
      <c r="J372" s="1182" t="str">
        <f>$J$5</f>
        <v>Breyting frá 2005</v>
      </c>
      <c r="K372" s="1182"/>
      <c r="L372" s="583"/>
      <c r="M372" s="1141"/>
      <c r="N372" s="1153" t="str">
        <f>$N$5</f>
        <v>Sviðsmynd með núgildandi aðgerðum</v>
      </c>
      <c r="O372" s="1154"/>
      <c r="AH372" s="1141"/>
      <c r="AI372" s="1181" t="str">
        <f>$AI$5</f>
        <v>Emissions in 2024</v>
      </c>
      <c r="AJ372" s="1182"/>
      <c r="AK372" s="1182" t="str">
        <f>$AK$5</f>
        <v>Change from 2023</v>
      </c>
      <c r="AL372" s="1183"/>
      <c r="AM372" s="1182" t="str">
        <f>$AM$5</f>
        <v>Change from 2005</v>
      </c>
      <c r="AN372" s="1182"/>
      <c r="AO372" s="583"/>
      <c r="AP372" s="1141"/>
      <c r="AQ372" s="1153" t="str">
        <f>$AQ$5</f>
        <v>Scenario: 
With Existing Measures</v>
      </c>
      <c r="AR372" s="1154"/>
    </row>
    <row r="373" spans="1:44" ht="24.6" customHeight="1" thickBot="1" x14ac:dyDescent="0.45">
      <c r="E373" s="1141"/>
      <c r="F373" s="582" t="str">
        <f>$F$6</f>
        <v>Þús. tonn CO₂-íg.</v>
      </c>
      <c r="G373" s="596" t="s">
        <v>4</v>
      </c>
      <c r="H373" s="596" t="str">
        <f>$F$6</f>
        <v>Þús. tonn CO₂-íg.</v>
      </c>
      <c r="I373" s="597" t="s">
        <v>4</v>
      </c>
      <c r="J373" s="582" t="str">
        <f>$F$6</f>
        <v>Þús. tonn CO₂-íg.</v>
      </c>
      <c r="K373" s="582" t="s">
        <v>4</v>
      </c>
      <c r="L373" s="583"/>
      <c r="M373" s="1142"/>
      <c r="N373" s="582" t="str">
        <f>$F$6</f>
        <v>Þús. tonn CO₂-íg.</v>
      </c>
      <c r="O373" s="582" t="s">
        <v>4</v>
      </c>
      <c r="AH373" s="1141"/>
      <c r="AI373" s="582" t="str">
        <f>$AI$6</f>
        <v>Thousand tons CO₂e</v>
      </c>
      <c r="AJ373" s="596" t="s">
        <v>4</v>
      </c>
      <c r="AK373" s="596" t="str">
        <f>$AI$6</f>
        <v>Thousand tons CO₂e</v>
      </c>
      <c r="AL373" s="597" t="s">
        <v>4</v>
      </c>
      <c r="AM373" s="582" t="str">
        <f>$AI$6</f>
        <v>Thousand tons CO₂e</v>
      </c>
      <c r="AN373" s="582" t="s">
        <v>4</v>
      </c>
      <c r="AO373" s="583"/>
      <c r="AP373" s="1142"/>
      <c r="AQ373" s="582" t="str">
        <f>$AI$6</f>
        <v>Thousand tons CO₂e</v>
      </c>
      <c r="AR373" s="582" t="s">
        <v>4</v>
      </c>
    </row>
    <row r="374" spans="1:44" ht="30" customHeight="1" thickTop="1" x14ac:dyDescent="0.4">
      <c r="A374" s="1035" t="s">
        <v>92</v>
      </c>
      <c r="B374" s="1112" t="s">
        <v>384</v>
      </c>
      <c r="C374" s="1098" t="s">
        <v>48</v>
      </c>
      <c r="D374" s="39" t="s">
        <v>48</v>
      </c>
      <c r="E374" s="586" t="str">
        <f>'Talnagögn | Numerical Data'!$D$299</f>
        <v>Eldsneytisbruni, staðbundinn iðnaður</v>
      </c>
      <c r="F374" s="575" cm="1">
        <f t="array" ref="F374">INDEX('Talnagögn | Numerical Data'!$1:$1048576, _xlfn.XMATCH($A374,'Talnagögn | Numerical Data'!$A:$A), _xlfn.XMATCH($A$1,'Talnagögn | Numerical Data'!$1:$1))</f>
        <v>6.230714396192325</v>
      </c>
      <c r="G374" s="584">
        <f>F374/$F$377</f>
        <v>3.2981505987295504E-3</v>
      </c>
      <c r="H374" s="576" cm="1">
        <f t="array" ref="H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_xlfn.XMATCH($A$4,'Talnagögn | Numerical Data'!$1:$1))</f>
        <v>0.7041342337364922</v>
      </c>
      <c r="I374" s="585" cm="1">
        <f t="array" ref="I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_xlfn.XMATCH($A$4,'Talnagögn | Numerical Data'!$1:$1))-1,"—")</f>
        <v>0.12740867101140507</v>
      </c>
      <c r="J374" s="577" cm="1">
        <f t="array" ref="J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_xlfn.XMATCH($A$3,'Talnagögn | Numerical Data'!$1:$1))</f>
        <v>-25.007770523107673</v>
      </c>
      <c r="K374" s="578" cm="1">
        <f t="array" ref="K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_xlfn.XMATCH($A$3,'Talnagögn | Numerical Data'!$1:$1))-1,"—")</f>
        <v>-0.80054364312838944</v>
      </c>
      <c r="L374" s="578"/>
      <c r="M374" s="586" t="str">
        <f>'Talnagögn | Numerical Data'!$D$299</f>
        <v>Eldsneytisbruni, staðbundinn iðnaður</v>
      </c>
      <c r="N374" s="577" cm="1">
        <f t="array" ref="N374">INDEX('Talnagögn | Numerical Data'!$1:$1048576, _xlfn.XMATCH($B374,'Talnagögn | Numerical Data'!$B:$B), _xlfn.XMATCH($B$2,'Talnagögn | Numerical Data'!$1:$1))-INDEX('Talnagögn | Numerical Data'!$1:$1048576, _xlfn.XMATCH($A374,'Talnagögn | Numerical Data'!$A:$A), _xlfn.XMATCH($A$3,'Talnagögn | Numerical Data'!$1:$1))</f>
        <v>-24.366897118530304</v>
      </c>
      <c r="O374" s="579" cm="1">
        <f t="array" ref="O374">INDEX('Talnagögn | Numerical Data'!$1:$1048576, _xlfn.XMATCH($B374,'Talnagögn | Numerical Data'!$B:$B), _xlfn.XMATCH($B$2,'Talnagögn | Numerical Data'!$1:$1))/INDEX('Talnagögn | Numerical Data'!$1:$1048576, _xlfn.XMATCH($A374,'Talnagögn | Numerical Data'!$A:$A), _xlfn.XMATCH($A$3,'Talnagögn | Numerical Data'!$1:$1))-1</f>
        <v>-0.78002813457434239</v>
      </c>
      <c r="AH374" s="586" t="str">
        <f>'Talnagögn | Numerical Data'!$E$299</f>
        <v>Fuel Combustion, Stationary Industry</v>
      </c>
      <c r="AI374" s="575" cm="1">
        <f t="array" ref="AI374">INDEX('Talnagögn | Numerical Data'!$1:$1048576, _xlfn.XMATCH($A374,'Talnagögn | Numerical Data'!$A:$A), _xlfn.XMATCH($A$1,'Talnagögn | Numerical Data'!$1:$1))</f>
        <v>6.230714396192325</v>
      </c>
      <c r="AJ374" s="584">
        <f>AI374/$F$377</f>
        <v>3.2981505987295504E-3</v>
      </c>
      <c r="AK374" s="576" cm="1">
        <f t="array" ref="AK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_xlfn.XMATCH($A$4,'Talnagögn | Numerical Data'!$1:$1))</f>
        <v>0.7041342337364922</v>
      </c>
      <c r="AL374" s="585" cm="1">
        <f t="array" ref="AL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_xlfn.XMATCH($A$4,'Talnagögn | Numerical Data'!$1:$1))-1,"—")</f>
        <v>0.12740867101140507</v>
      </c>
      <c r="AM374" s="577" cm="1">
        <f t="array" ref="AM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_xlfn.XMATCH($A$3,'Talnagögn | Numerical Data'!$1:$1))</f>
        <v>-25.007770523107673</v>
      </c>
      <c r="AN374" s="578" cm="1">
        <f t="array" ref="AN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_xlfn.XMATCH($A$3,'Talnagögn | Numerical Data'!$1:$1))-1,"—")</f>
        <v>-0.80054364312838944</v>
      </c>
      <c r="AO374" s="578"/>
      <c r="AP374" s="586" t="str">
        <f>'Talnagögn | Numerical Data'!$E$299</f>
        <v>Fuel Combustion, Stationary Industry</v>
      </c>
      <c r="AQ374" s="577" cm="1">
        <f t="array" ref="AQ374">INDEX('Talnagögn | Numerical Data'!$1:$1048576, _xlfn.XMATCH($B374,'Talnagögn | Numerical Data'!$B:$B), _xlfn.XMATCH($B$2,'Talnagögn | Numerical Data'!$1:$1))-INDEX('Talnagögn | Numerical Data'!$1:$1048576, _xlfn.XMATCH($A374,'Talnagögn | Numerical Data'!$A:$A), _xlfn.XMATCH($A$3,'Talnagögn | Numerical Data'!$1:$1))</f>
        <v>-24.366897118530304</v>
      </c>
      <c r="AR374" s="579" cm="1">
        <f t="array" ref="AR374">INDEX('Talnagögn | Numerical Data'!$1:$1048576, _xlfn.XMATCH($B374,'Talnagögn | Numerical Data'!$B:$B), _xlfn.XMATCH($B$2,'Talnagögn | Numerical Data'!$1:$1))/INDEX('Talnagögn | Numerical Data'!$1:$1048576, _xlfn.XMATCH($A374,'Talnagögn | Numerical Data'!$A:$A), _xlfn.XMATCH($A$3,'Talnagögn | Numerical Data'!$1:$1))-1</f>
        <v>-0.78002813457434239</v>
      </c>
    </row>
    <row r="375" spans="1:44" ht="21" customHeight="1" x14ac:dyDescent="0.4">
      <c r="A375" s="1112" t="s">
        <v>436</v>
      </c>
      <c r="B375" s="1112" t="s">
        <v>447</v>
      </c>
      <c r="C375" s="1098" t="s">
        <v>48</v>
      </c>
      <c r="D375" s="39" t="s">
        <v>48</v>
      </c>
      <c r="E375" s="586" t="str">
        <f>'Talnagögn | Numerical Data'!$D$300</f>
        <v>Kísil- og kísilmálmframleiðsla</v>
      </c>
      <c r="F375" s="577" cm="1">
        <f t="array" ref="F375">INDEX('Talnagögn | Numerical Data'!$1:$1048576, _xlfn.XMATCH($A375,'Talnagögn | Numerical Data'!$A:$A), _xlfn.XMATCH($A$1,'Talnagögn | Numerical Data'!$1:$1))</f>
        <v>522.51012450550002</v>
      </c>
      <c r="G375" s="585">
        <f>F375/$F$377</f>
        <v>0.27658418768692228</v>
      </c>
      <c r="H375" s="577" cm="1">
        <f t="array" ref="H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_xlfn.XMATCH($A$4,'Talnagögn | Numerical Data'!$1:$1))</f>
        <v>118.1576918431835</v>
      </c>
      <c r="I375" s="585" cm="1">
        <f t="array" ref="I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_xlfn.XMATCH($A$4,'Talnagögn | Numerical Data'!$1:$1))-1,"—")</f>
        <v>0.29221461848322683</v>
      </c>
      <c r="J375" s="577" cm="1">
        <f t="array" ref="J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_xlfn.XMATCH($A$3,'Talnagögn | Numerical Data'!$1:$1))</f>
        <v>145.67419449910005</v>
      </c>
      <c r="K375" s="578" cm="1">
        <f t="array" ref="K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_xlfn.XMATCH($A$3,'Talnagögn | Numerical Data'!$1:$1))-1,"—")</f>
        <v>0.38657193462583583</v>
      </c>
      <c r="L375" s="580"/>
      <c r="M375" s="586" t="str">
        <f>'Talnagögn | Numerical Data'!$D$300</f>
        <v>Kísil- og kísilmálmframleiðsla</v>
      </c>
      <c r="N375" s="577" cm="1">
        <f t="array" ref="N375">INDEX('Talnagögn | Numerical Data'!$1:$1048576, _xlfn.XMATCH($B375,'Talnagögn | Numerical Data'!$B:$B), _xlfn.XMATCH($B$2,'Talnagögn | Numerical Data'!$1:$1))-INDEX('Talnagögn | Numerical Data'!$1:$1048576, _xlfn.XMATCH($A375,'Talnagögn | Numerical Data'!$A:$A), _xlfn.XMATCH($A$3,'Talnagögn | Numerical Data'!$1:$1))</f>
        <v>116.6073643268785</v>
      </c>
      <c r="O375" s="579" cm="1">
        <f t="array" ref="O375">INDEX('Talnagögn | Numerical Data'!$1:$1048576, _xlfn.XMATCH($B375,'Talnagögn | Numerical Data'!$B:$B), _xlfn.XMATCH($B$2,'Talnagögn | Numerical Data'!$1:$1))/INDEX('Talnagögn | Numerical Data'!$1:$1048576, _xlfn.XMATCH($A375,'Talnagögn | Numerical Data'!$A:$A), _xlfn.XMATCH($A$3,'Talnagögn | Numerical Data'!$1:$1))-1</f>
        <v>0.30943802074525673</v>
      </c>
      <c r="AH375" s="586" t="str">
        <f>'Talnagögn | Numerical Data'!$E$300</f>
        <v>Ferrosilicon and Silicon Metal Production</v>
      </c>
      <c r="AI375" s="577" cm="1">
        <f t="array" ref="AI375">INDEX('Talnagögn | Numerical Data'!$1:$1048576, _xlfn.XMATCH($A375,'Talnagögn | Numerical Data'!$A:$A), _xlfn.XMATCH($A$1,'Talnagögn | Numerical Data'!$1:$1))</f>
        <v>522.51012450550002</v>
      </c>
      <c r="AJ375" s="585">
        <f>AI375/$F$377</f>
        <v>0.27658418768692228</v>
      </c>
      <c r="AK375" s="577" cm="1">
        <f t="array" ref="AK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_xlfn.XMATCH($A$4,'Talnagögn | Numerical Data'!$1:$1))</f>
        <v>118.1576918431835</v>
      </c>
      <c r="AL375" s="585" cm="1">
        <f t="array" ref="AL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_xlfn.XMATCH($A$4,'Talnagögn | Numerical Data'!$1:$1))-1,"—")</f>
        <v>0.29221461848322683</v>
      </c>
      <c r="AM375" s="577" cm="1">
        <f t="array" ref="AM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_xlfn.XMATCH($A$3,'Talnagögn | Numerical Data'!$1:$1))</f>
        <v>145.67419449910005</v>
      </c>
      <c r="AN375" s="578" cm="1">
        <f t="array" ref="AN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_xlfn.XMATCH($A$3,'Talnagögn | Numerical Data'!$1:$1))-1,"—")</f>
        <v>0.38657193462583583</v>
      </c>
      <c r="AO375" s="580"/>
      <c r="AP375" s="586" t="str">
        <f>'Talnagögn | Numerical Data'!$E$300</f>
        <v>Ferrosilicon and Silicon Metal Production</v>
      </c>
      <c r="AQ375" s="577" cm="1">
        <f t="array" ref="AQ375">INDEX('Talnagögn | Numerical Data'!$1:$1048576, _xlfn.XMATCH($B375,'Talnagögn | Numerical Data'!$B:$B), _xlfn.XMATCH($B$2,'Talnagögn | Numerical Data'!$1:$1))-INDEX('Talnagögn | Numerical Data'!$1:$1048576, _xlfn.XMATCH($A375,'Talnagögn | Numerical Data'!$A:$A), _xlfn.XMATCH($A$3,'Talnagögn | Numerical Data'!$1:$1))</f>
        <v>116.6073643268785</v>
      </c>
      <c r="AR375" s="579" cm="1">
        <f t="array" ref="AR375">INDEX('Talnagögn | Numerical Data'!$1:$1048576, _xlfn.XMATCH($B375,'Talnagögn | Numerical Data'!$B:$B), _xlfn.XMATCH($B$2,'Talnagögn | Numerical Data'!$1:$1))/INDEX('Talnagögn | Numerical Data'!$1:$1048576, _xlfn.XMATCH($A375,'Talnagögn | Numerical Data'!$A:$A), _xlfn.XMATCH($A$3,'Talnagögn | Numerical Data'!$1:$1))-1</f>
        <v>0.30943802074525673</v>
      </c>
    </row>
    <row r="376" spans="1:44" ht="21" customHeight="1" x14ac:dyDescent="0.4">
      <c r="A376" s="1112" t="s">
        <v>437</v>
      </c>
      <c r="B376" s="1112" t="s">
        <v>448</v>
      </c>
      <c r="C376" s="1098" t="s">
        <v>48</v>
      </c>
      <c r="D376" s="39" t="s">
        <v>48</v>
      </c>
      <c r="E376" s="590" t="str">
        <f>'Talnagögn | Numerical Data'!$D$301</f>
        <v>Álframleiðsla</v>
      </c>
      <c r="F376" s="588" cm="1">
        <f t="array" ref="F376">INDEX('Talnagögn | Numerical Data'!$1:$1048576, _xlfn.XMATCH($A376,'Talnagögn | Numerical Data'!$A:$A), _xlfn.XMATCH($A$1,'Talnagögn | Numerical Data'!$1:$1))</f>
        <v>1360.4116549515916</v>
      </c>
      <c r="G376" s="1034">
        <f>F376/$F$377</f>
        <v>0.720116864454455</v>
      </c>
      <c r="H376" s="588" cm="1">
        <f t="array" ref="H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_xlfn.XMATCH($A$4,'Talnagögn | Numerical Data'!$1:$1))</f>
        <v>-42.237986717096192</v>
      </c>
      <c r="I376" s="587" cm="1">
        <f t="array" ref="I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_xlfn.XMATCH($A$4,'Talnagögn | Numerical Data'!$1:$1))-1,"—")</f>
        <v>-3.0112998615140274E-2</v>
      </c>
      <c r="J376" s="588" cm="1">
        <f t="array" ref="J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_xlfn.XMATCH($A$3,'Talnagögn | Numerical Data'!$1:$1))</f>
        <v>915.60313878450438</v>
      </c>
      <c r="K376" s="589" cm="1">
        <f t="array" ref="K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_xlfn.XMATCH($A$3,'Talnagögn | Numerical Data'!$1:$1))-1,"—")</f>
        <v>2.0584208833820279</v>
      </c>
      <c r="L376" s="578"/>
      <c r="M376" s="590" t="str">
        <f>'Talnagögn | Numerical Data'!$D$301</f>
        <v>Álframleiðsla</v>
      </c>
      <c r="N376" s="588" cm="1">
        <f t="array" ref="N376">INDEX('Talnagögn | Numerical Data'!$1:$1048576, _xlfn.XMATCH($B376,'Talnagögn | Numerical Data'!$B:$B), _xlfn.XMATCH($B$2,'Talnagögn | Numerical Data'!$1:$1))-INDEX('Talnagögn | Numerical Data'!$1:$1048576, _xlfn.XMATCH($A376,'Talnagögn | Numerical Data'!$A:$A), _xlfn.XMATCH($A$3,'Talnagögn | Numerical Data'!$1:$1))</f>
        <v>982.37327077134455</v>
      </c>
      <c r="O376" s="589" cm="1">
        <f t="array" ref="O376">INDEX('Talnagögn | Numerical Data'!$1:$1048576, _xlfn.XMATCH($B376,'Talnagögn | Numerical Data'!$B:$B), _xlfn.XMATCH($B$2,'Talnagögn | Numerical Data'!$1:$1))/INDEX('Talnagögn | Numerical Data'!$1:$1048576, _xlfn.XMATCH($A376,'Talnagögn | Numerical Data'!$A:$A), _xlfn.XMATCH($A$3,'Talnagögn | Numerical Data'!$1:$1))-1</f>
        <v>2.2085307161752441</v>
      </c>
      <c r="AH376" s="590" t="str">
        <f>'Talnagögn | Numerical Data'!$E$301</f>
        <v>Aluminium Production</v>
      </c>
      <c r="AI376" s="588" cm="1">
        <f t="array" ref="AI376">INDEX('Talnagögn | Numerical Data'!$1:$1048576, _xlfn.XMATCH($A376,'Talnagögn | Numerical Data'!$A:$A), _xlfn.XMATCH($A$1,'Talnagögn | Numerical Data'!$1:$1))</f>
        <v>1360.4116549515916</v>
      </c>
      <c r="AJ376" s="1034">
        <f>AI376/$F$377</f>
        <v>0.720116864454455</v>
      </c>
      <c r="AK376" s="588" cm="1">
        <f t="array" ref="AK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_xlfn.XMATCH($A$4,'Talnagögn | Numerical Data'!$1:$1))</f>
        <v>-42.237986717096192</v>
      </c>
      <c r="AL376" s="587" cm="1">
        <f t="array" ref="AL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_xlfn.XMATCH($A$4,'Talnagögn | Numerical Data'!$1:$1))-1,"—")</f>
        <v>-3.0112998615140274E-2</v>
      </c>
      <c r="AM376" s="588" cm="1">
        <f t="array" ref="AM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_xlfn.XMATCH($A$3,'Talnagögn | Numerical Data'!$1:$1))</f>
        <v>915.60313878450438</v>
      </c>
      <c r="AN376" s="589" cm="1">
        <f t="array" ref="AN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_xlfn.XMATCH($A$3,'Talnagögn | Numerical Data'!$1:$1))-1,"—")</f>
        <v>2.0584208833820279</v>
      </c>
      <c r="AO376" s="578"/>
      <c r="AP376" s="590" t="str">
        <f>'Talnagögn | Numerical Data'!$E$301</f>
        <v>Aluminium Production</v>
      </c>
      <c r="AQ376" s="588" cm="1">
        <f t="array" ref="AQ376">INDEX('Talnagögn | Numerical Data'!$1:$1048576, _xlfn.XMATCH($B376,'Talnagögn | Numerical Data'!$B:$B), _xlfn.XMATCH($B$2,'Talnagögn | Numerical Data'!$1:$1))-INDEX('Talnagögn | Numerical Data'!$1:$1048576, _xlfn.XMATCH($A376,'Talnagögn | Numerical Data'!$A:$A), _xlfn.XMATCH($A$3,'Talnagögn | Numerical Data'!$1:$1))</f>
        <v>982.37327077134455</v>
      </c>
      <c r="AR376" s="589" cm="1">
        <f t="array" ref="AR376">INDEX('Talnagögn | Numerical Data'!$1:$1048576, _xlfn.XMATCH($B376,'Talnagögn | Numerical Data'!$B:$B), _xlfn.XMATCH($B$2,'Talnagögn | Numerical Data'!$1:$1))/INDEX('Talnagögn | Numerical Data'!$1:$1048576, _xlfn.XMATCH($A376,'Talnagögn | Numerical Data'!$A:$A), _xlfn.XMATCH($A$3,'Talnagögn | Numerical Data'!$1:$1))-1</f>
        <v>2.2085307161752441</v>
      </c>
    </row>
    <row r="377" spans="1:44" ht="24.9" customHeight="1" x14ac:dyDescent="0.4">
      <c r="A377" s="1112" t="s">
        <v>90</v>
      </c>
      <c r="B377" s="1112" t="s">
        <v>385</v>
      </c>
      <c r="C377" s="1098" t="s">
        <v>48</v>
      </c>
      <c r="E377" s="591" t="s">
        <v>12</v>
      </c>
      <c r="F377" s="592" cm="1">
        <f t="array" ref="F377">INDEX('Talnagögn | Numerical Data'!$1:$1048576, _xlfn.XMATCH($A377,'Talnagögn | Numerical Data'!$A:$A), _xlfn.XMATCH($A$1,'Talnagögn | Numerical Data'!$1:$1))</f>
        <v>1889.154</v>
      </c>
      <c r="G377" s="593">
        <f>F377/$F$377</f>
        <v>1</v>
      </c>
      <c r="H377" s="592" cm="1">
        <f t="array" ref="H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_xlfn.XMATCH($A$4,'Talnagögn | Numerical Data'!$1:$1))</f>
        <v>76.624000000000024</v>
      </c>
      <c r="I377" s="594" cm="1">
        <f t="array" ref="I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_xlfn.XMATCH($A$4,'Talnagögn | Numerical Data'!$1:$1))-1,"—")</f>
        <v>4.2274610627134557E-2</v>
      </c>
      <c r="J377" s="592" cm="1">
        <f t="array" ref="J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_xlfn.XMATCH($A$3,'Talnagögn | Numerical Data'!$1:$1))</f>
        <v>1036.2710689072128</v>
      </c>
      <c r="K377" s="595" cm="1">
        <f t="array" ref="K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_xlfn.XMATCH($A$3,'Talnagögn | Numerical Data'!$1:$1))-1,"—")</f>
        <v>1.2150214655831522</v>
      </c>
      <c r="L377" s="581"/>
      <c r="M377" s="591" t="s">
        <v>12</v>
      </c>
      <c r="N377" s="592" cm="1">
        <f t="array" ref="N377">INDEX('Talnagögn | Numerical Data'!$1:$1048576, _xlfn.XMATCH($B377,'Talnagögn | Numerical Data'!$B:$B), _xlfn.XMATCH($B$2,'Talnagögn | Numerical Data'!$1:$1))-INDEX('Talnagögn | Numerical Data'!$1:$1048576, _xlfn.XMATCH($A377,'Talnagögn | Numerical Data'!$A:$A), _xlfn.XMATCH($A$3,'Talnagögn | Numerical Data'!$1:$1))</f>
        <v>1074.6137379796926</v>
      </c>
      <c r="O377" s="595" cm="1">
        <f t="array" ref="O377">INDEX('Talnagögn | Numerical Data'!$1:$1048576, _xlfn.XMATCH($B377,'Talnagögn | Numerical Data'!$B:$B), _xlfn.XMATCH($B$2,'Talnagögn | Numerical Data'!$1:$1))/INDEX('Talnagögn | Numerical Data'!$1:$1048576, _xlfn.XMATCH($A377,'Talnagögn | Numerical Data'!$A:$A), _xlfn.XMATCH($A$3,'Talnagögn | Numerical Data'!$1:$1))-1</f>
        <v>1.2599780096464173</v>
      </c>
      <c r="AH377" s="591" t="s">
        <v>164</v>
      </c>
      <c r="AI377" s="592" cm="1">
        <f t="array" ref="AI377">INDEX('Talnagögn | Numerical Data'!$1:$1048576, _xlfn.XMATCH($A377,'Talnagögn | Numerical Data'!$A:$A), _xlfn.XMATCH($A$1,'Talnagögn | Numerical Data'!$1:$1))</f>
        <v>1889.154</v>
      </c>
      <c r="AJ377" s="593">
        <f>AI377/$F$377</f>
        <v>1</v>
      </c>
      <c r="AK377" s="592" cm="1">
        <f t="array" ref="AK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_xlfn.XMATCH($A$4,'Talnagögn | Numerical Data'!$1:$1))</f>
        <v>76.624000000000024</v>
      </c>
      <c r="AL377" s="594" cm="1">
        <f t="array" ref="AL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_xlfn.XMATCH($A$4,'Talnagögn | Numerical Data'!$1:$1))-1,"—")</f>
        <v>4.2274610627134557E-2</v>
      </c>
      <c r="AM377" s="592" cm="1">
        <f t="array" ref="AM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_xlfn.XMATCH($A$3,'Talnagögn | Numerical Data'!$1:$1))</f>
        <v>1036.2710689072128</v>
      </c>
      <c r="AN377" s="595" cm="1">
        <f t="array" ref="AN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_xlfn.XMATCH($A$3,'Talnagögn | Numerical Data'!$1:$1))-1,"—")</f>
        <v>1.2150214655831522</v>
      </c>
      <c r="AO377" s="581"/>
      <c r="AP377" s="591" t="s">
        <v>164</v>
      </c>
      <c r="AQ377" s="592" cm="1">
        <f t="array" ref="AQ377">INDEX('Talnagögn | Numerical Data'!$1:$1048576, _xlfn.XMATCH($B377,'Talnagögn | Numerical Data'!$B:$B), _xlfn.XMATCH($B$2,'Talnagögn | Numerical Data'!$1:$1))-INDEX('Talnagögn | Numerical Data'!$1:$1048576, _xlfn.XMATCH($A377,'Talnagögn | Numerical Data'!$A:$A), _xlfn.XMATCH($A$3,'Talnagögn | Numerical Data'!$1:$1))</f>
        <v>1074.6137379796926</v>
      </c>
      <c r="AR377" s="595" cm="1">
        <f t="array" ref="AR377">INDEX('Talnagögn | Numerical Data'!$1:$1048576, _xlfn.XMATCH($B377,'Talnagögn | Numerical Data'!$B:$B), _xlfn.XMATCH($B$2,'Talnagögn | Numerical Data'!$1:$1))/INDEX('Talnagögn | Numerical Data'!$1:$1048576, _xlfn.XMATCH($A377,'Talnagögn | Numerical Data'!$A:$A), _xlfn.XMATCH($A$3,'Talnagögn | Numerical Data'!$1:$1))-1</f>
        <v>1.2599780096464173</v>
      </c>
    </row>
    <row r="400" spans="1:43" s="243" customFormat="1" ht="27" customHeight="1" x14ac:dyDescent="0.4">
      <c r="A400" s="1121"/>
      <c r="B400" s="1121"/>
      <c r="C400" s="1108"/>
      <c r="E400" s="243" t="s">
        <v>34</v>
      </c>
      <c r="AF400" s="244"/>
      <c r="AH400" s="243" t="s">
        <v>168</v>
      </c>
      <c r="AI400" s="398"/>
      <c r="AK400" s="398"/>
      <c r="AM400" s="398"/>
      <c r="AQ400" s="398"/>
    </row>
    <row r="424" spans="1:34" s="399" customFormat="1" ht="27" customHeight="1" x14ac:dyDescent="0.4">
      <c r="A424" s="1122"/>
      <c r="B424" s="1122"/>
      <c r="C424" s="1109"/>
      <c r="E424" s="399" t="str">
        <f>$E$65</f>
        <v>FRAMREIKNUÐ LOSUN (SVIÐSMYND MEÐ NÚGILDANDI AÐGERÐUM)</v>
      </c>
      <c r="AF424" s="400"/>
      <c r="AH424" s="399" t="str">
        <f>$AH$65</f>
        <v>EMISSION PROJECTIONS (WITH EXISTING MEASURES SCENARIO)</v>
      </c>
    </row>
  </sheetData>
  <mergeCells count="81">
    <mergeCell ref="K282:M285"/>
    <mergeCell ref="AH118:AH120"/>
    <mergeCell ref="AP118:AP120"/>
    <mergeCell ref="AQ118:AR118"/>
    <mergeCell ref="AH132:AH134"/>
    <mergeCell ref="AP132:AP134"/>
    <mergeCell ref="AQ132:AR132"/>
    <mergeCell ref="AQ119:AR119"/>
    <mergeCell ref="AI132:AN132"/>
    <mergeCell ref="AI119:AJ119"/>
    <mergeCell ref="AK119:AL119"/>
    <mergeCell ref="AM119:AN119"/>
    <mergeCell ref="M4:M6"/>
    <mergeCell ref="E4:E6"/>
    <mergeCell ref="AH4:AH6"/>
    <mergeCell ref="N4:O4"/>
    <mergeCell ref="AI118:AN118"/>
    <mergeCell ref="N5:O5"/>
    <mergeCell ref="F5:G5"/>
    <mergeCell ref="H5:I5"/>
    <mergeCell ref="AM5:AN5"/>
    <mergeCell ref="AI4:AN4"/>
    <mergeCell ref="AI5:AJ5"/>
    <mergeCell ref="AK5:AL5"/>
    <mergeCell ref="E118:E120"/>
    <mergeCell ref="M118:M120"/>
    <mergeCell ref="N118:O118"/>
    <mergeCell ref="N119:O119"/>
    <mergeCell ref="AI288:AN288"/>
    <mergeCell ref="AQ289:AR289"/>
    <mergeCell ref="AI371:AN371"/>
    <mergeCell ref="AQ371:AR371"/>
    <mergeCell ref="AK372:AL372"/>
    <mergeCell ref="AI372:AJ372"/>
    <mergeCell ref="AM372:AN372"/>
    <mergeCell ref="AI289:AJ289"/>
    <mergeCell ref="AK289:AL289"/>
    <mergeCell ref="AM289:AN289"/>
    <mergeCell ref="AQ288:AR288"/>
    <mergeCell ref="F372:G372"/>
    <mergeCell ref="H372:I372"/>
    <mergeCell ref="J372:K372"/>
    <mergeCell ref="F289:G289"/>
    <mergeCell ref="AQ372:AR372"/>
    <mergeCell ref="AQ5:AR5"/>
    <mergeCell ref="AQ4:AR4"/>
    <mergeCell ref="AP4:AP6"/>
    <mergeCell ref="F4:K4"/>
    <mergeCell ref="AQ133:AR133"/>
    <mergeCell ref="AI133:AJ133"/>
    <mergeCell ref="AK133:AL133"/>
    <mergeCell ref="AM133:AN133"/>
    <mergeCell ref="J5:K5"/>
    <mergeCell ref="F133:G133"/>
    <mergeCell ref="H119:I119"/>
    <mergeCell ref="F119:G119"/>
    <mergeCell ref="H133:I133"/>
    <mergeCell ref="J133:K133"/>
    <mergeCell ref="J119:K119"/>
    <mergeCell ref="F118:K118"/>
    <mergeCell ref="E132:E134"/>
    <mergeCell ref="M132:M134"/>
    <mergeCell ref="N132:O132"/>
    <mergeCell ref="F132:K132"/>
    <mergeCell ref="N133:O133"/>
    <mergeCell ref="E371:E373"/>
    <mergeCell ref="M371:M373"/>
    <mergeCell ref="AH371:AH373"/>
    <mergeCell ref="AP371:AP373"/>
    <mergeCell ref="AP288:AP290"/>
    <mergeCell ref="E288:E290"/>
    <mergeCell ref="M288:M290"/>
    <mergeCell ref="AH288:AH290"/>
    <mergeCell ref="N288:O288"/>
    <mergeCell ref="F288:K288"/>
    <mergeCell ref="F371:K371"/>
    <mergeCell ref="N371:O371"/>
    <mergeCell ref="N372:O372"/>
    <mergeCell ref="N289:O289"/>
    <mergeCell ref="H289:I289"/>
    <mergeCell ref="J289:K289"/>
  </mergeCells>
  <conditionalFormatting sqref="A121:A125 B121:B131 B133:B147">
    <cfRule type="cellIs" dxfId="52" priority="178" operator="equal">
      <formula>0</formula>
    </cfRule>
  </conditionalFormatting>
  <conditionalFormatting sqref="A144">
    <cfRule type="cellIs" dxfId="51" priority="151" operator="equal">
      <formula>0</formula>
    </cfRule>
  </conditionalFormatting>
  <conditionalFormatting sqref="A8:B13">
    <cfRule type="cellIs" dxfId="50" priority="201" operator="equal">
      <formula>0</formula>
    </cfRule>
  </conditionalFormatting>
  <conditionalFormatting sqref="B150:B154">
    <cfRule type="cellIs" dxfId="49" priority="179" operator="equal">
      <formula>0</formula>
    </cfRule>
  </conditionalFormatting>
  <conditionalFormatting sqref="F374:L377 N374:N377">
    <cfRule type="cellIs" dxfId="48" priority="120" operator="equal">
      <formula>0</formula>
    </cfRule>
  </conditionalFormatting>
  <conditionalFormatting sqref="AI374:AO377">
    <cfRule type="cellIs" dxfId="47" priority="1" operator="equal">
      <formula>0</formula>
    </cfRule>
  </conditionalFormatting>
  <conditionalFormatting sqref="AQ374:AQ377">
    <cfRule type="cellIs" dxfId="46" priority="18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N9:O9 AQ9:AR9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03CA-2548-4B41-A082-4442B1BB00A3}">
  <sheetPr>
    <tabColor theme="3"/>
  </sheetPr>
  <dimension ref="A1:BD768"/>
  <sheetViews>
    <sheetView topLeftCell="D1" zoomScale="60" zoomScaleNormal="60" workbookViewId="0">
      <selection activeCell="AP568" sqref="AP567:AP568"/>
    </sheetView>
  </sheetViews>
  <sheetFormatPr defaultColWidth="9.19921875" defaultRowHeight="16.8" x14ac:dyDescent="0.4"/>
  <cols>
    <col min="1" max="1" width="7.3984375" style="50" hidden="1" customWidth="1"/>
    <col min="2" max="3" width="7.3984375" style="1038" hidden="1" customWidth="1"/>
    <col min="4" max="4" width="5.19921875" style="8" customWidth="1"/>
    <col min="5" max="5" width="30.3984375" style="8" customWidth="1"/>
    <col min="6" max="6" width="17.09765625" style="240" customWidth="1"/>
    <col min="7" max="7" width="9.796875" style="240" customWidth="1"/>
    <col min="8" max="8" width="16.69921875" style="240" customWidth="1"/>
    <col min="9" max="9" width="9.796875" style="240" customWidth="1"/>
    <col min="10" max="10" width="17.09765625" style="240" customWidth="1"/>
    <col min="11" max="11" width="9.796875" style="240" customWidth="1"/>
    <col min="12" max="12" width="17.09765625" style="240" customWidth="1"/>
    <col min="13" max="13" width="9.796875" style="240" customWidth="1"/>
    <col min="14" max="14" width="10" style="240" customWidth="1"/>
    <col min="15" max="15" width="30.3984375" style="240" customWidth="1"/>
    <col min="16" max="16" width="17.09765625" style="240" customWidth="1"/>
    <col min="17" max="17" width="9.09765625" style="240" customWidth="1"/>
    <col min="18" max="18" width="17.09765625" style="240" customWidth="1"/>
    <col min="19" max="19" width="9.796875" style="240" customWidth="1"/>
    <col min="20" max="20" width="6.8984375" style="240" customWidth="1"/>
    <col min="21" max="21" width="15.3984375" style="240" customWidth="1"/>
    <col min="22" max="22" width="10" style="240" customWidth="1"/>
    <col min="23" max="24" width="6.8984375" style="240" customWidth="1"/>
    <col min="25" max="29" width="10" style="240" customWidth="1"/>
    <col min="30" max="30" width="10.19921875" style="355" bestFit="1" customWidth="1"/>
    <col min="31" max="32" width="9.19921875" style="8"/>
    <col min="33" max="33" width="39.69921875" style="8" customWidth="1"/>
    <col min="34" max="34" width="19.59765625" style="240" customWidth="1"/>
    <col min="35" max="35" width="9.19921875" style="240"/>
    <col min="36" max="36" width="19.59765625" style="240" customWidth="1"/>
    <col min="37" max="37" width="10.59765625" style="240" bestFit="1" customWidth="1"/>
    <col min="38" max="38" width="19.59765625" style="240" customWidth="1"/>
    <col min="39" max="39" width="9.69921875" style="240" customWidth="1"/>
    <col min="40" max="40" width="19.59765625" style="240" customWidth="1"/>
    <col min="41" max="41" width="9.19921875" style="240"/>
    <col min="42" max="42" width="9" style="240" customWidth="1"/>
    <col min="43" max="43" width="39.69921875" style="240" customWidth="1"/>
    <col min="44" max="44" width="19.59765625" style="240" customWidth="1"/>
    <col min="45" max="45" width="8.19921875" style="240" customWidth="1"/>
    <col min="46" max="46" width="19.59765625" style="240" customWidth="1"/>
    <col min="47" max="47" width="9.19921875" style="240"/>
    <col min="48" max="48" width="19.59765625" style="240" customWidth="1"/>
    <col min="49" max="55" width="9.19921875" style="240"/>
    <col min="56" max="56" width="9.19921875" style="8"/>
    <col min="57" max="57" width="10.5" style="8" customWidth="1"/>
    <col min="58" max="66" width="9.19921875" style="8"/>
    <col min="67" max="67" width="27.8984375" style="8" bestFit="1" customWidth="1"/>
    <col min="68" max="16384" width="9.19921875" style="8"/>
  </cols>
  <sheetData>
    <row r="1" spans="1:55" s="610" customFormat="1" ht="45.6" customHeight="1" x14ac:dyDescent="0.85">
      <c r="A1" s="780">
        <v>2024</v>
      </c>
      <c r="B1" s="780">
        <v>1990</v>
      </c>
      <c r="C1" s="1048" t="s">
        <v>48</v>
      </c>
      <c r="E1" s="1069" t="s">
        <v>110</v>
      </c>
      <c r="F1" s="705"/>
      <c r="G1" s="705"/>
      <c r="H1" s="636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58"/>
      <c r="AG1" s="1069" t="s">
        <v>176</v>
      </c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  <c r="BC1" s="705"/>
    </row>
    <row r="2" spans="1:55" s="704" customFormat="1" ht="37.5" customHeight="1" x14ac:dyDescent="0.35">
      <c r="A2" s="701"/>
      <c r="B2" s="701">
        <v>2005</v>
      </c>
      <c r="C2" s="1048" t="s">
        <v>48</v>
      </c>
      <c r="D2" s="702"/>
      <c r="E2" s="739" t="s">
        <v>462</v>
      </c>
      <c r="F2" s="706"/>
      <c r="G2" s="706"/>
      <c r="H2" s="709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59"/>
      <c r="AE2" s="702"/>
      <c r="AF2" s="702"/>
      <c r="AG2" s="739" t="s">
        <v>463</v>
      </c>
      <c r="AH2" s="706"/>
      <c r="AI2" s="706"/>
      <c r="AJ2" s="706"/>
      <c r="AK2" s="706"/>
      <c r="AL2" s="706"/>
      <c r="AM2" s="706"/>
      <c r="AN2" s="706"/>
      <c r="AO2" s="706"/>
      <c r="AP2" s="706"/>
      <c r="AQ2" s="706"/>
      <c r="AR2" s="703"/>
      <c r="AS2" s="703"/>
      <c r="AT2" s="703"/>
      <c r="AU2" s="703"/>
      <c r="AV2" s="703"/>
      <c r="AW2" s="703"/>
      <c r="AX2" s="703"/>
      <c r="AY2" s="703"/>
      <c r="AZ2" s="703"/>
      <c r="BA2" s="703"/>
      <c r="BB2" s="703"/>
      <c r="BC2" s="703"/>
    </row>
    <row r="3" spans="1:55" x14ac:dyDescent="0.4">
      <c r="A3" s="701"/>
      <c r="B3" s="701">
        <f>$A$1-1</f>
        <v>2023</v>
      </c>
      <c r="C3" s="1048" t="s">
        <v>48</v>
      </c>
      <c r="D3" s="245" t="s">
        <v>48</v>
      </c>
    </row>
    <row r="4" spans="1:55" x14ac:dyDescent="0.4">
      <c r="A4" s="701"/>
      <c r="B4" s="701">
        <v>2030</v>
      </c>
      <c r="C4" s="1048" t="s">
        <v>48</v>
      </c>
      <c r="D4" s="245"/>
    </row>
    <row r="5" spans="1:55" ht="52.8" customHeight="1" x14ac:dyDescent="0.55000000000000004">
      <c r="A5" s="701"/>
      <c r="B5" s="701">
        <v>2055</v>
      </c>
      <c r="C5" s="1048" t="s">
        <v>48</v>
      </c>
      <c r="D5" s="245" t="s">
        <v>48</v>
      </c>
      <c r="E5" s="1131" t="s">
        <v>456</v>
      </c>
      <c r="F5" s="1131"/>
      <c r="G5" s="1131"/>
      <c r="H5" s="1131"/>
      <c r="I5" s="1131"/>
      <c r="J5" s="1131"/>
      <c r="K5" s="1131"/>
      <c r="L5" s="1131"/>
      <c r="M5" s="1131"/>
      <c r="O5" s="1131" t="s">
        <v>456</v>
      </c>
      <c r="P5" s="1131"/>
      <c r="Q5" s="1131"/>
      <c r="R5" s="1131"/>
      <c r="S5" s="1131"/>
      <c r="AG5" s="1131" t="s">
        <v>464</v>
      </c>
      <c r="AH5" s="1132"/>
      <c r="AI5" s="1132"/>
      <c r="AJ5" s="1132"/>
      <c r="AK5" s="1132"/>
      <c r="AL5" s="1132"/>
      <c r="AM5" s="1132"/>
      <c r="AN5" s="1132"/>
      <c r="AO5" s="1132"/>
      <c r="AP5" s="8"/>
      <c r="AQ5" s="1131" t="s">
        <v>464</v>
      </c>
      <c r="AR5" s="1132"/>
      <c r="AS5" s="1132"/>
      <c r="AT5" s="1132"/>
      <c r="AU5" s="1132"/>
      <c r="AV5" s="1132"/>
      <c r="AW5" s="1132"/>
      <c r="AX5" s="1132"/>
      <c r="AY5" s="1132"/>
      <c r="AZ5" s="8"/>
      <c r="BA5" s="8"/>
      <c r="BB5" s="8"/>
      <c r="BC5" s="8"/>
    </row>
    <row r="6" spans="1:55" ht="48" customHeight="1" x14ac:dyDescent="0.4">
      <c r="A6" s="112"/>
      <c r="B6" s="112"/>
      <c r="C6" s="84" t="s">
        <v>48</v>
      </c>
      <c r="D6" s="236"/>
      <c r="E6" s="1170" t="str">
        <f>"STAÐAN ÁRIÐ "&amp;$A$1</f>
        <v>STAÐAN ÁRIÐ 2024</v>
      </c>
      <c r="F6" s="757"/>
      <c r="G6" s="756"/>
      <c r="H6" s="756"/>
      <c r="I6" s="756"/>
      <c r="J6" s="756"/>
      <c r="K6" s="756"/>
      <c r="L6" s="756"/>
      <c r="M6" s="756"/>
      <c r="O6" s="1170" t="s">
        <v>403</v>
      </c>
      <c r="P6" s="1261" t="s">
        <v>416</v>
      </c>
      <c r="Q6" s="1262"/>
      <c r="R6" s="1262"/>
      <c r="S6" s="1262"/>
      <c r="AG6" s="1170" t="str">
        <f>$A$1&amp;" EMISSIONS"</f>
        <v>2024 EMISSIONS</v>
      </c>
      <c r="AH6" s="754"/>
      <c r="AI6" s="755"/>
      <c r="AJ6" s="755"/>
      <c r="AK6" s="755"/>
      <c r="AL6" s="755"/>
      <c r="AM6" s="755"/>
      <c r="AN6" s="756"/>
      <c r="AO6" s="755"/>
      <c r="AP6" s="8"/>
      <c r="AQ6" s="1170" t="s">
        <v>402</v>
      </c>
      <c r="AR6" s="1261" t="s">
        <v>424</v>
      </c>
      <c r="AS6" s="1262"/>
      <c r="AT6" s="1262"/>
      <c r="AU6" s="1262"/>
      <c r="AV6" s="1263" t="s">
        <v>425</v>
      </c>
      <c r="AW6" s="1262"/>
      <c r="AX6" s="8"/>
      <c r="AY6" s="8"/>
      <c r="AZ6" s="8"/>
      <c r="BA6" s="8"/>
      <c r="BB6" s="8"/>
      <c r="BC6" s="8"/>
    </row>
    <row r="7" spans="1:55" ht="17.399999999999999" x14ac:dyDescent="0.4">
      <c r="A7" s="1048" t="s">
        <v>48</v>
      </c>
      <c r="B7" s="1048" t="s">
        <v>48</v>
      </c>
      <c r="C7" s="1048" t="s">
        <v>48</v>
      </c>
      <c r="D7" s="245" t="s">
        <v>48</v>
      </c>
      <c r="E7" s="1170"/>
      <c r="F7" s="1198" t="str">
        <f>"Losun "&amp;$A$1</f>
        <v>Losun 2024</v>
      </c>
      <c r="G7" s="1199"/>
      <c r="H7" s="1179" t="str">
        <f>"Breyting frá "&amp;$B$3</f>
        <v>Breyting frá 2023</v>
      </c>
      <c r="I7" s="1199"/>
      <c r="J7" s="1179" t="str">
        <f>"Breyting frá "&amp;$B$2</f>
        <v>Breyting frá 2005</v>
      </c>
      <c r="K7" s="1199"/>
      <c r="L7" s="1179" t="str">
        <f>"Breyting frá "&amp;$B$1</f>
        <v>Breyting frá 1990</v>
      </c>
      <c r="M7" s="1264"/>
      <c r="O7" s="1170"/>
      <c r="P7" s="1179" t="s">
        <v>417</v>
      </c>
      <c r="Q7" s="1199"/>
      <c r="R7" s="1179" t="s">
        <v>418</v>
      </c>
      <c r="S7" s="1199"/>
      <c r="AE7" s="251"/>
      <c r="AG7" s="1170"/>
      <c r="AH7" s="1198" t="s">
        <v>420</v>
      </c>
      <c r="AI7" s="1199"/>
      <c r="AJ7" s="1179" t="s">
        <v>421</v>
      </c>
      <c r="AK7" s="1199"/>
      <c r="AL7" s="1179" t="s">
        <v>422</v>
      </c>
      <c r="AM7" s="1199"/>
      <c r="AN7" s="1179" t="s">
        <v>423</v>
      </c>
      <c r="AO7" s="1264"/>
      <c r="AP7" s="8"/>
      <c r="AQ7" s="1170"/>
      <c r="AR7" s="1179" t="s">
        <v>426</v>
      </c>
      <c r="AS7" s="1199"/>
      <c r="AT7" s="1179" t="s">
        <v>427</v>
      </c>
      <c r="AU7" s="1199"/>
      <c r="AV7" s="1179" t="str">
        <f>$AR$7</f>
        <v>2030 compared to 2005</v>
      </c>
      <c r="AW7" s="1199"/>
      <c r="AX7" s="8"/>
      <c r="AY7" s="8"/>
      <c r="AZ7" s="8"/>
      <c r="BA7" s="8"/>
      <c r="BB7" s="8"/>
      <c r="BC7" s="8"/>
    </row>
    <row r="8" spans="1:55" s="240" customFormat="1" ht="24" customHeight="1" thickBot="1" x14ac:dyDescent="0.45">
      <c r="A8" s="50"/>
      <c r="B8" s="1038" t="s">
        <v>48</v>
      </c>
      <c r="C8" s="1038"/>
      <c r="D8" s="356" t="s">
        <v>48</v>
      </c>
      <c r="E8" s="1171"/>
      <c r="F8" s="465" t="s">
        <v>401</v>
      </c>
      <c r="G8" s="466" t="s">
        <v>4</v>
      </c>
      <c r="H8" s="465" t="str">
        <f>$F$8</f>
        <v>Þús. tonn CO₂-íg.</v>
      </c>
      <c r="I8" s="466" t="s">
        <v>4</v>
      </c>
      <c r="J8" s="465" t="str">
        <f>$F$8</f>
        <v>Þús. tonn CO₂-íg.</v>
      </c>
      <c r="K8" s="466" t="s">
        <v>4</v>
      </c>
      <c r="L8" s="465" t="str">
        <f>$F$8</f>
        <v>Þús. tonn CO₂-íg.</v>
      </c>
      <c r="M8" s="465" t="s">
        <v>4</v>
      </c>
      <c r="O8" s="1171"/>
      <c r="P8" s="465" t="str">
        <f>$F$8</f>
        <v>Þús. tonn CO₂-íg.</v>
      </c>
      <c r="Q8" s="466" t="s">
        <v>4</v>
      </c>
      <c r="R8" s="465" t="str">
        <f>$F$8</f>
        <v>Þús. tonn CO₂-íg.</v>
      </c>
      <c r="S8" s="465" t="s">
        <v>4</v>
      </c>
      <c r="AD8" s="355"/>
      <c r="AG8" s="1171"/>
      <c r="AH8" s="564" t="s">
        <v>411</v>
      </c>
      <c r="AI8" s="466" t="s">
        <v>4</v>
      </c>
      <c r="AJ8" s="465" t="str">
        <f>$AH$8</f>
        <v>Thousand tons CO₂e</v>
      </c>
      <c r="AK8" s="466" t="s">
        <v>4</v>
      </c>
      <c r="AL8" s="465" t="str">
        <f>$AH$8</f>
        <v>Thousand tons CO₂e</v>
      </c>
      <c r="AM8" s="466" t="s">
        <v>4</v>
      </c>
      <c r="AN8" s="465" t="str">
        <f>$AH$8</f>
        <v>Thousand tons CO₂e</v>
      </c>
      <c r="AO8" s="465" t="s">
        <v>4</v>
      </c>
      <c r="AP8" s="8"/>
      <c r="AQ8" s="1171"/>
      <c r="AR8" s="465" t="str">
        <f>$AH$8</f>
        <v>Thousand tons CO₂e</v>
      </c>
      <c r="AS8" s="466" t="s">
        <v>4</v>
      </c>
      <c r="AT8" s="465" t="str">
        <f>$AH$8</f>
        <v>Thousand tons CO₂e</v>
      </c>
      <c r="AU8" s="466" t="s">
        <v>4</v>
      </c>
      <c r="AV8" s="465" t="str">
        <f>$AH$8</f>
        <v>Thousand tons CO₂e</v>
      </c>
      <c r="AW8" s="465" t="s">
        <v>4</v>
      </c>
    </row>
    <row r="9" spans="1:55" ht="21" customHeight="1" thickTop="1" x14ac:dyDescent="0.4">
      <c r="A9" s="4" t="s">
        <v>42</v>
      </c>
      <c r="B9" s="4" t="s">
        <v>266</v>
      </c>
      <c r="C9" s="4" t="s">
        <v>273</v>
      </c>
      <c r="D9" s="245" t="s">
        <v>48</v>
      </c>
      <c r="E9" s="712" t="str">
        <f>'Talnagögn | Numerical Data'!$D$5</f>
        <v>Orka</v>
      </c>
      <c r="F9" s="540" cm="1">
        <f t="array" ref="F9">INDEX('Talnagögn | Numerical Data'!$1:$1048576,_xlfn.XMATCH($A9,'Talnagögn | Numerical Data'!$A:$A),_xlfn.XMATCH($A$1,'Talnagögn | Numerical Data'!$1:$1))</f>
        <v>1858.8672934650326</v>
      </c>
      <c r="G9" s="713">
        <f>$F9/$F$14</f>
        <v>0.16834390292451201</v>
      </c>
      <c r="H9" s="714" cm="1">
        <f t="array" ref="H9">INDEX('Talnagögn | Numerical Data'!$1:$1048576,_xlfn.XMATCH($A9,'Talnagögn | Numerical Data'!$A:$A),_xlfn.XMATCH($A$1,'Talnagögn | Numerical Data'!$1:$1))-INDEX('Talnagögn | Numerical Data'!$1:$1048576,_xlfn.XMATCH($A9,'Talnagögn | Numerical Data'!$A:$A),_xlfn.XMATCH($B$3,'Talnagögn | Numerical Data'!$1:$1))</f>
        <v>84.315435981465725</v>
      </c>
      <c r="I9" s="715" cm="1">
        <f t="array" ref="I9">INDEX('Talnagögn | Numerical Data'!$1:$1048576,_xlfn.XMATCH($A9,'Talnagögn | Numerical Data'!$A:$A),_xlfn.XMATCH($A$1,'Talnagögn | Numerical Data'!$1:$1))/INDEX('Talnagögn | Numerical Data'!$1:$1048576,_xlfn.XMATCH($A9,'Talnagögn | Numerical Data'!$A:$A),_xlfn.XMATCH($B$3,'Talnagögn | Numerical Data'!$1:$1))-1</f>
        <v>4.7513650066575375E-2</v>
      </c>
      <c r="J9" s="540" cm="1">
        <f t="array" ref="J9">INDEX('Talnagögn | Numerical Data'!$1:$1048576,_xlfn.XMATCH($A9,'Talnagögn | Numerical Data'!$A:$A),_xlfn.XMATCH($A$1,'Talnagögn | Numerical Data'!$1:$1))-INDEX('Talnagögn | Numerical Data'!$1:$1048576,_xlfn.XMATCH($A9,'Talnagögn | Numerical Data'!$A:$A),_xlfn.XMATCH($B$2,'Talnagögn | Numerical Data'!$1:$1))</f>
        <v>-299.65975339180341</v>
      </c>
      <c r="K9" s="713" cm="1">
        <f t="array" ref="K9">INDEX('Talnagögn | Numerical Data'!$1:$1048576,_xlfn.XMATCH($A9,'Talnagögn | Numerical Data'!$A:$A),_xlfn.XMATCH($A$1,'Talnagögn | Numerical Data'!$1:$1))/INDEX('Talnagögn | Numerical Data'!$1:$1048576,_xlfn.XMATCH($A9,'Talnagögn | Numerical Data'!$A:$A),_xlfn.XMATCH($B$2,'Talnagögn | Numerical Data'!$1:$1))-1</f>
        <v>-0.13882603594342557</v>
      </c>
      <c r="L9" s="540" cm="1">
        <f t="array" ref="L9">INDEX('Talnagögn | Numerical Data'!$1:$1048576,_xlfn.XMATCH($A9,'Talnagögn | Numerical Data'!$A:$A),_xlfn.XMATCH($A$1,'Talnagögn | Numerical Data'!$1:$1))-INDEX('Talnagögn | Numerical Data'!$1:$1048576,_xlfn.XMATCH($A9,'Talnagögn | Numerical Data'!$A:$A),_xlfn.XMATCH($B$1,'Talnagögn | Numerical Data'!$1:$1))</f>
        <v>18.308869483047374</v>
      </c>
      <c r="M9" s="543" cm="1">
        <f t="array" ref="M9">INDEX('Talnagögn | Numerical Data'!$1:$1048576,_xlfn.XMATCH($A9,'Talnagögn | Numerical Data'!$A:$A),_xlfn.XMATCH($A$1,'Talnagögn | Numerical Data'!$1:$1))/INDEX('Talnagögn | Numerical Data'!$1:$1048576,_xlfn.XMATCH($A9,'Talnagögn | Numerical Data'!$A:$A),_xlfn.XMATCH($B$1,'Talnagögn | Numerical Data'!$1:$1))-1</f>
        <v>9.9474535795700536E-3</v>
      </c>
      <c r="O9" s="712" t="str">
        <f>'Talnagögn | Numerical Data'!$D$5</f>
        <v>Orka</v>
      </c>
      <c r="P9" s="540" cm="1">
        <f t="array" ref="P9">INDEX('Talnagögn | Numerical Data'!$1:$1048576,_xlfn.XMATCH($B9,'Talnagögn | Numerical Data'!$B:$B),_xlfn.XMATCH($B$4,'Talnagögn | Numerical Data'!$1:$1))-INDEX('Talnagögn | Numerical Data'!$1:$1048576,_xlfn.XMATCH($A9,'Talnagögn | Numerical Data'!$A:$A),_xlfn.XMATCH($B$2,'Talnagögn | Numerical Data'!$1:$1))</f>
        <v>-602.66565498050227</v>
      </c>
      <c r="Q9" s="713" cm="1">
        <f t="array" ref="Q9">INDEX('Talnagögn | Numerical Data'!$1:$1048576,_xlfn.XMATCH($B9,'Talnagögn | Numerical Data'!$B:$B),_xlfn.XMATCH($B$4,'Talnagögn | Numerical Data'!$1:$1))/INDEX('Talnagögn | Numerical Data'!$1:$1048576,_xlfn.XMATCH($A9,'Talnagögn | Numerical Data'!$A:$A),_xlfn.XMATCH($B$2,'Talnagögn | Numerical Data'!$1:$1))-1</f>
        <v>-0.2792022716871122</v>
      </c>
      <c r="R9" s="714" cm="1">
        <f t="array" ref="R9">INDEX('Talnagögn | Numerical Data'!$1:$1048576,_xlfn.XMATCH($B9,'Talnagögn | Numerical Data'!$B:$B),_xlfn.XMATCH($B$5,'Talnagögn | Numerical Data'!$1:$1))-INDEX('Talnagögn | Numerical Data'!$1:$1048576,_xlfn.XMATCH($A9,'Talnagögn | Numerical Data'!$A:$A),_xlfn.XMATCH($B$1,'Talnagögn | Numerical Data'!$1:$1))</f>
        <v>-1574.4467026149255</v>
      </c>
      <c r="S9" s="1082" cm="1">
        <f t="array" ref="S9">INDEX('Talnagögn | Numerical Data'!$1:$1048576,_xlfn.XMATCH($B9,'Talnagögn | Numerical Data'!$B:$B),_xlfn.XMATCH($B$5,'Talnagögn | Numerical Data'!$1:$1))/INDEX('Talnagögn | Numerical Data'!$1:$1048576,_xlfn.XMATCH($A9,'Talnagögn | Numerical Data'!$A:$A),_xlfn.XMATCH($B$1,'Talnagögn | Numerical Data'!$1:$1))-1</f>
        <v>-0.85541794386980874</v>
      </c>
      <c r="AD9" s="760"/>
      <c r="AE9" s="251"/>
      <c r="AG9" s="712" t="str">
        <f>'Talnagögn | Numerical Data'!$E$5</f>
        <v>Energy</v>
      </c>
      <c r="AH9" s="540" cm="1">
        <f t="array" ref="AH9">INDEX('Talnagögn | Numerical Data'!$1:$1048576,_xlfn.XMATCH($A9,'Talnagögn | Numerical Data'!$A:$A),_xlfn.XMATCH($A$1,'Talnagögn | Numerical Data'!$1:$1))</f>
        <v>1858.8672934650326</v>
      </c>
      <c r="AI9" s="713">
        <f>$F9/$F$14</f>
        <v>0.16834390292451201</v>
      </c>
      <c r="AJ9" s="714" cm="1">
        <f t="array" ref="AJ9">INDEX('Talnagögn | Numerical Data'!$1:$1048576,_xlfn.XMATCH($A9,'Talnagögn | Numerical Data'!$A:$A),_xlfn.XMATCH($A$1,'Talnagögn | Numerical Data'!$1:$1))-INDEX('Talnagögn | Numerical Data'!$1:$1048576,_xlfn.XMATCH($A9,'Talnagögn | Numerical Data'!$A:$A),_xlfn.XMATCH($B$3,'Talnagögn | Numerical Data'!$1:$1))</f>
        <v>84.315435981465725</v>
      </c>
      <c r="AK9" s="715" cm="1">
        <f t="array" ref="AK9">INDEX('Talnagögn | Numerical Data'!$1:$1048576,_xlfn.XMATCH($A9,'Talnagögn | Numerical Data'!$A:$A),_xlfn.XMATCH($A$1,'Talnagögn | Numerical Data'!$1:$1))/INDEX('Talnagögn | Numerical Data'!$1:$1048576,_xlfn.XMATCH($A9,'Talnagögn | Numerical Data'!$A:$A),_xlfn.XMATCH($B$3,'Talnagögn | Numerical Data'!$1:$1))-1</f>
        <v>4.7513650066575375E-2</v>
      </c>
      <c r="AL9" s="540" cm="1">
        <f t="array" ref="AL9">INDEX('Talnagögn | Numerical Data'!$1:$1048576,_xlfn.XMATCH($A9,'Talnagögn | Numerical Data'!$A:$A),_xlfn.XMATCH($A$1,'Talnagögn | Numerical Data'!$1:$1))-INDEX('Talnagögn | Numerical Data'!$1:$1048576,_xlfn.XMATCH($A9,'Talnagögn | Numerical Data'!$A:$A),_xlfn.XMATCH($B$2,'Talnagögn | Numerical Data'!$1:$1))</f>
        <v>-299.65975339180341</v>
      </c>
      <c r="AM9" s="713" cm="1">
        <f t="array" ref="AM9">INDEX('Talnagögn | Numerical Data'!$1:$1048576,_xlfn.XMATCH($A9,'Talnagögn | Numerical Data'!$A:$A),_xlfn.XMATCH($A$1,'Talnagögn | Numerical Data'!$1:$1))/INDEX('Talnagögn | Numerical Data'!$1:$1048576,_xlfn.XMATCH($A9,'Talnagögn | Numerical Data'!$A:$A),_xlfn.XMATCH($B$2,'Talnagögn | Numerical Data'!$1:$1))-1</f>
        <v>-0.13882603594342557</v>
      </c>
      <c r="AN9" s="540" cm="1">
        <f t="array" ref="AN9">INDEX('Talnagögn | Numerical Data'!$1:$1048576,_xlfn.XMATCH($A9,'Talnagögn | Numerical Data'!$A:$A),_xlfn.XMATCH($A$1,'Talnagögn | Numerical Data'!$1:$1))-INDEX('Talnagögn | Numerical Data'!$1:$1048576,_xlfn.XMATCH($A9,'Talnagögn | Numerical Data'!$A:$A),_xlfn.XMATCH($B$1,'Talnagögn | Numerical Data'!$1:$1))</f>
        <v>18.308869483047374</v>
      </c>
      <c r="AO9" s="543" cm="1">
        <f t="array" ref="AO9">INDEX('Talnagögn | Numerical Data'!$1:$1048576,_xlfn.XMATCH($A9,'Talnagögn | Numerical Data'!$A:$A),_xlfn.XMATCH($A$1,'Talnagögn | Numerical Data'!$1:$1))/INDEX('Talnagögn | Numerical Data'!$1:$1048576,_xlfn.XMATCH($A9,'Talnagögn | Numerical Data'!$A:$A),_xlfn.XMATCH($B$1,'Talnagögn | Numerical Data'!$1:$1))-1</f>
        <v>9.9474535795700536E-3</v>
      </c>
      <c r="AP9" s="8"/>
      <c r="AQ9" s="712" t="str">
        <f>'Talnagögn | Numerical Data'!$E$5</f>
        <v>Energy</v>
      </c>
      <c r="AR9" s="540" cm="1">
        <f t="array" ref="AR9">INDEX('Talnagögn | Numerical Data'!$1:$1048576,_xlfn.XMATCH($B9,'Talnagögn | Numerical Data'!$B:$B),_xlfn.XMATCH($B$4,'Talnagögn | Numerical Data'!$1:$1))-INDEX('Talnagögn | Numerical Data'!$1:$1048576,_xlfn.XMATCH($A9,'Talnagögn | Numerical Data'!$A:$A),_xlfn.XMATCH($B$2,'Talnagögn | Numerical Data'!$1:$1))</f>
        <v>-602.66565498050227</v>
      </c>
      <c r="AS9" s="713" cm="1">
        <f t="array" ref="AS9">INDEX('Talnagögn | Numerical Data'!$1:$1048576,_xlfn.XMATCH($B9,'Talnagögn | Numerical Data'!$B:$B),_xlfn.XMATCH($B$4,'Talnagögn | Numerical Data'!$1:$1))/INDEX('Talnagögn | Numerical Data'!$1:$1048576,_xlfn.XMATCH($A9,'Talnagögn | Numerical Data'!$A:$A),_xlfn.XMATCH($B$2,'Talnagögn | Numerical Data'!$1:$1))-1</f>
        <v>-0.2792022716871122</v>
      </c>
      <c r="AT9" s="714" cm="1">
        <f t="array" ref="AT9">INDEX('Talnagögn | Numerical Data'!$1:$1048576,_xlfn.XMATCH($B9,'Talnagögn | Numerical Data'!$B:$B),_xlfn.XMATCH($B$5,'Talnagögn | Numerical Data'!$1:$1))-INDEX('Talnagögn | Numerical Data'!$1:$1048576,_xlfn.XMATCH($A9,'Talnagögn | Numerical Data'!$A:$A),_xlfn.XMATCH($B$1,'Talnagögn | Numerical Data'!$1:$1))</f>
        <v>-1574.4467026149255</v>
      </c>
      <c r="AU9" s="713" cm="1">
        <f t="array" ref="AU9">INDEX('Talnagögn | Numerical Data'!$1:$1048576,_xlfn.XMATCH($B9,'Talnagögn | Numerical Data'!$B:$B),_xlfn.XMATCH($B$5,'Talnagögn | Numerical Data'!$1:$1))/INDEX('Talnagögn | Numerical Data'!$1:$1048576,_xlfn.XMATCH($A9,'Talnagögn | Numerical Data'!$A:$A),_xlfn.XMATCH($B$1,'Talnagögn | Numerical Data'!$1:$1))-1</f>
        <v>-0.85541794386980874</v>
      </c>
      <c r="AV9" s="540" t="e" cm="1">
        <f t="array" ref="AV9">INDEX('Talnagögn | Numerical Data'!$1:$1048576,_xlfn.XMATCH($C9,'Talnagögn | Numerical Data'!$B:$B),_xlfn.XMATCH($B$4,'Talnagögn | Numerical Data'!$1:$1))-INDEX('Talnagögn | Numerical Data'!$1:$1048576,_xlfn.XMATCH($A9,'Talnagögn | Numerical Data'!$A:$A),_xlfn.XMATCH($B$2,'Talnagögn | Numerical Data'!$1:$1))</f>
        <v>#N/A</v>
      </c>
      <c r="AW9" s="1082" t="e" cm="1">
        <f t="array" ref="AW9">INDEX('Talnagögn | Numerical Data'!$1:$1048576,_xlfn.XMATCH($C9,'Talnagögn | Numerical Data'!$B:$B),_xlfn.XMATCH($B$4,'Talnagögn | Numerical Data'!$1:$1))/INDEX('Talnagögn | Numerical Data'!$1:$1048576,_xlfn.XMATCH($A9,'Talnagögn | Numerical Data'!$A:$A),_xlfn.XMATCH($B$2,'Talnagögn | Numerical Data'!$1:$1))-1</f>
        <v>#N/A</v>
      </c>
      <c r="AX9" s="8"/>
      <c r="AY9" s="8"/>
      <c r="AZ9" s="8"/>
      <c r="BA9" s="8"/>
      <c r="BB9" s="8"/>
      <c r="BC9" s="8"/>
    </row>
    <row r="10" spans="1:55" ht="21" customHeight="1" x14ac:dyDescent="0.4">
      <c r="A10" s="4" t="s">
        <v>43</v>
      </c>
      <c r="B10" s="4" t="s">
        <v>267</v>
      </c>
      <c r="C10" s="4" t="s">
        <v>274</v>
      </c>
      <c r="D10" s="245" t="s">
        <v>48</v>
      </c>
      <c r="E10" s="716" t="str">
        <f>'Talnagögn | Numerical Data'!$D$6</f>
        <v>Iðnaður og vörunotkun</v>
      </c>
      <c r="F10" s="540" cm="1">
        <f t="array" ref="F10">INDEX('Talnagögn | Numerical Data'!$1:$1048576,_xlfn.XMATCH($A10,'Talnagögn | Numerical Data'!$A:$A),_xlfn.XMATCH($A$1,'Talnagögn | Numerical Data'!$1:$1))</f>
        <v>2006.593431936052</v>
      </c>
      <c r="G10" s="717">
        <f>$F10/$F$14</f>
        <v>0.18172236990900636</v>
      </c>
      <c r="H10" s="540" cm="1">
        <f t="array" ref="H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Data'!$A:$A),_xlfn.XMATCH($B$3,'Talnagögn | Numerical Data'!$1:$1))</f>
        <v>60.68956644342029</v>
      </c>
      <c r="I10" s="718" cm="1">
        <f t="array" ref="I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Data'!$A:$A),_xlfn.XMATCH($B$3,'Talnagögn | Numerical Data'!$1:$1))-1</f>
        <v>3.1188368305160807E-2</v>
      </c>
      <c r="J10" s="540" cm="1">
        <f t="array" ref="J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Data'!$A:$A),_xlfn.XMATCH($B$2,'Talnagögn | Numerical Data'!$1:$1))</f>
        <v>1056.7222403030805</v>
      </c>
      <c r="K10" s="717" cm="1">
        <f t="array" ref="K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Data'!$A:$A),_xlfn.XMATCH($B$2,'Talnagögn | Numerical Data'!$1:$1))-1</f>
        <v>1.1124900403458033</v>
      </c>
      <c r="L10" s="540" cm="1">
        <f t="array" ref="L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Data'!$A:$A),_xlfn.XMATCH($B$1,'Talnagögn | Numerical Data'!$1:$1))</f>
        <v>1105.0294082598223</v>
      </c>
      <c r="M10" s="719" cm="1">
        <f t="array" ref="M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Data'!$A:$A),_xlfn.XMATCH($B$1,'Talnagögn | Numerical Data'!$1:$1))-1</f>
        <v>1.225680461110171</v>
      </c>
      <c r="O10" s="716" t="str">
        <f>'Talnagögn | Numerical Data'!$D$6</f>
        <v>Iðnaður og vörunotkun</v>
      </c>
      <c r="P10" s="540" cm="1">
        <f t="array" ref="P10">INDEX('Talnagögn | Numerical Data'!$1:$1048576,_xlfn.XMATCH($B10,'Talnagögn | Numerical Data'!$B:$B),_xlfn.XMATCH($B$4,'Talnagögn | Numerical Data'!$1:$1))-INDEX('Talnagögn | Numerical Data'!$1:$1048576,_xlfn.XMATCH($A10,'Talnagögn | Numerical Data'!$A:$A),_xlfn.XMATCH($B$2,'Talnagögn | Numerical Data'!$1:$1))</f>
        <v>1021.8019936802027</v>
      </c>
      <c r="Q10" s="717" cm="1">
        <f t="array" ref="Q10">INDEX('Talnagögn | Numerical Data'!$1:$1048576,_xlfn.XMATCH($B10,'Talnagögn | Numerical Data'!$B:$B),_xlfn.XMATCH($B$4,'Talnagögn | Numerical Data'!$1:$1))/INDEX('Talnagögn | Numerical Data'!$1:$1048576,_xlfn.XMATCH($A10,'Talnagögn | Numerical Data'!$A:$A),_xlfn.XMATCH($B$2,'Talnagögn | Numerical Data'!$1:$1))-1</f>
        <v>1.0757269013744604</v>
      </c>
      <c r="R10" s="540" cm="1">
        <f t="array" ref="R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Data'!$A:$A),_xlfn.XMATCH($B$1,'Talnagögn | Numerical Data'!$1:$1))</f>
        <v>1047.964108647358</v>
      </c>
      <c r="S10" s="542" cm="1">
        <f t="array" ref="S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Data'!$A:$A),_xlfn.XMATCH($B$1,'Talnagögn | Numerical Data'!$1:$1))-1</f>
        <v>1.1623845685125782</v>
      </c>
      <c r="AD10" s="760"/>
      <c r="AE10" s="251"/>
      <c r="AG10" s="716" t="str">
        <f>'Talnagögn | Numerical Data'!$E$6</f>
        <v>Industrial Processes and Product Use</v>
      </c>
      <c r="AH10" s="540" cm="1">
        <f t="array" ref="AH10">INDEX('Talnagögn | Numerical Data'!$1:$1048576,_xlfn.XMATCH($A10,'Talnagögn | Numerical Data'!$A:$A),_xlfn.XMATCH($A$1,'Talnagögn | Numerical Data'!$1:$1))</f>
        <v>2006.593431936052</v>
      </c>
      <c r="AI10" s="717">
        <f>$F10/$F$14</f>
        <v>0.18172236990900636</v>
      </c>
      <c r="AJ10" s="540" cm="1">
        <f t="array" ref="AJ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Data'!$A:$A),_xlfn.XMATCH($B$3,'Talnagögn | Numerical Data'!$1:$1))</f>
        <v>60.68956644342029</v>
      </c>
      <c r="AK10" s="718" cm="1">
        <f t="array" ref="AK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Data'!$A:$A),_xlfn.XMATCH($B$3,'Talnagögn | Numerical Data'!$1:$1))-1</f>
        <v>3.1188368305160807E-2</v>
      </c>
      <c r="AL10" s="540" cm="1">
        <f t="array" ref="AL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Data'!$A:$A),_xlfn.XMATCH($B$2,'Talnagögn | Numerical Data'!$1:$1))</f>
        <v>1056.7222403030805</v>
      </c>
      <c r="AM10" s="717" cm="1">
        <f t="array" ref="AM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Data'!$A:$A),_xlfn.XMATCH($B$2,'Talnagögn | Numerical Data'!$1:$1))-1</f>
        <v>1.1124900403458033</v>
      </c>
      <c r="AN10" s="540" cm="1">
        <f t="array" ref="AN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Data'!$A:$A),_xlfn.XMATCH($B$1,'Talnagögn | Numerical Data'!$1:$1))</f>
        <v>1105.0294082598223</v>
      </c>
      <c r="AO10" s="719" cm="1">
        <f t="array" ref="AO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Data'!$A:$A),_xlfn.XMATCH($B$1,'Talnagögn | Numerical Data'!$1:$1))-1</f>
        <v>1.225680461110171</v>
      </c>
      <c r="AP10" s="8"/>
      <c r="AQ10" s="716" t="str">
        <f>'Talnagögn | Numerical Data'!$E$6</f>
        <v>Industrial Processes and Product Use</v>
      </c>
      <c r="AR10" s="540" cm="1">
        <f t="array" ref="AR10">INDEX('Talnagögn | Numerical Data'!$1:$1048576,_xlfn.XMATCH($B10,'Talnagögn | Numerical Data'!$B:$B),_xlfn.XMATCH($B$4,'Talnagögn | Numerical Data'!$1:$1))-INDEX('Talnagögn | Numerical Data'!$1:$1048576,_xlfn.XMATCH($A10,'Talnagögn | Numerical Data'!$A:$A),_xlfn.XMATCH($B$2,'Talnagögn | Numerical Data'!$1:$1))</f>
        <v>1021.8019936802027</v>
      </c>
      <c r="AS10" s="717" cm="1">
        <f t="array" ref="AS10">INDEX('Talnagögn | Numerical Data'!$1:$1048576,_xlfn.XMATCH($B10,'Talnagögn | Numerical Data'!$B:$B),_xlfn.XMATCH($B$4,'Talnagögn | Numerical Data'!$1:$1))/INDEX('Talnagögn | Numerical Data'!$1:$1048576,_xlfn.XMATCH($A10,'Talnagögn | Numerical Data'!$A:$A),_xlfn.XMATCH($B$2,'Talnagögn | Numerical Data'!$1:$1))-1</f>
        <v>1.0757269013744604</v>
      </c>
      <c r="AT10" s="540" cm="1">
        <f t="array" ref="AT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Data'!$A:$A),_xlfn.XMATCH($B$1,'Talnagögn | Numerical Data'!$1:$1))</f>
        <v>1047.964108647358</v>
      </c>
      <c r="AU10" s="717" cm="1">
        <f t="array" ref="AU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Data'!$A:$A),_xlfn.XMATCH($B$1,'Talnagögn | Numerical Data'!$1:$1))-1</f>
        <v>1.1623845685125782</v>
      </c>
      <c r="AV10" s="781" t="e" cm="1">
        <f t="array" ref="AV10">INDEX('Talnagögn | Numerical Data'!$1:$1048576,_xlfn.XMATCH($C10,'Talnagögn | Numerical Data'!$B:$B),_xlfn.XMATCH($B$4,'Talnagögn | Numerical Data'!$1:$1))-INDEX('Talnagögn | Numerical Data'!$1:$1048576,_xlfn.XMATCH($A10,'Talnagögn | Numerical Data'!$A:$A),_xlfn.XMATCH($B$2,'Talnagögn | Numerical Data'!$1:$1))</f>
        <v>#N/A</v>
      </c>
      <c r="AW10" s="782" t="e" cm="1">
        <f t="array" ref="AW10">INDEX('Talnagögn | Numerical Data'!$1:$1048576,_xlfn.XMATCH($C10,'Talnagögn | Numerical Data'!$B:$B),_xlfn.XMATCH($B$4,'Talnagögn | Numerical Data'!$1:$1))/INDEX('Talnagögn | Numerical Data'!$1:$1048576,_xlfn.XMATCH($A10,'Talnagögn | Numerical Data'!$A:$A),_xlfn.XMATCH($B$2,'Talnagögn | Numerical Data'!$1:$1))-1</f>
        <v>#N/A</v>
      </c>
      <c r="AX10" s="8"/>
      <c r="AY10" s="8"/>
      <c r="AZ10" s="8"/>
      <c r="BA10" s="8"/>
      <c r="BB10" s="8"/>
      <c r="BC10" s="8"/>
    </row>
    <row r="11" spans="1:55" ht="21" customHeight="1" x14ac:dyDescent="0.4">
      <c r="A11" s="4" t="s">
        <v>44</v>
      </c>
      <c r="B11" s="4" t="s">
        <v>268</v>
      </c>
      <c r="C11" s="4" t="s">
        <v>275</v>
      </c>
      <c r="D11" s="245" t="s">
        <v>48</v>
      </c>
      <c r="E11" s="716" t="str">
        <f>'Talnagögn | Numerical Data'!$D$7</f>
        <v>Landbúnaður</v>
      </c>
      <c r="F11" s="540" cm="1">
        <f t="array" ref="F11">INDEX('Talnagögn | Numerical Data'!$1:$1048576,_xlfn.XMATCH($A11,'Talnagögn | Numerical Data'!$A:$A),_xlfn.XMATCH($A$1,'Talnagögn | Numerical Data'!$1:$1))</f>
        <v>669.59914464131464</v>
      </c>
      <c r="G11" s="718">
        <f>$F11/$F$14</f>
        <v>6.0640656705359473E-2</v>
      </c>
      <c r="H11" s="546" cm="1">
        <f t="array" ref="H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Data'!$A:$A),_xlfn.XMATCH($B$3,'Talnagögn | Numerical Data'!$1:$1))</f>
        <v>-6.0262763072659027</v>
      </c>
      <c r="I11" s="724" cm="1">
        <f t="array" ref="I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Data'!$A:$A),_xlfn.XMATCH($B$3,'Talnagögn | Numerical Data'!$1:$1))-1</f>
        <v>-8.9195523442634483E-3</v>
      </c>
      <c r="J11" s="546" cm="1">
        <f t="array" ref="J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Data'!$A:$A),_xlfn.XMATCH($B$2,'Talnagögn | Numerical Data'!$1:$1))</f>
        <v>-6.7570985142256177</v>
      </c>
      <c r="K11" s="718" cm="1">
        <f t="array" ref="K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Data'!$A:$A),_xlfn.XMATCH($B$2,'Talnagögn | Numerical Data'!$1:$1))-1</f>
        <v>-9.9904430285145951E-3</v>
      </c>
      <c r="L11" s="540" cm="1">
        <f t="array" ref="L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Data'!$A:$A),_xlfn.XMATCH($B$1,'Talnagögn | Numerical Data'!$1:$1))</f>
        <v>-36.171730878748576</v>
      </c>
      <c r="M11" s="720" cm="1">
        <f t="array" ref="M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Data'!$A:$A),_xlfn.XMATCH($B$1,'Talnagögn | Numerical Data'!$1:$1))-1</f>
        <v>-5.1251379354658955E-2</v>
      </c>
      <c r="O11" s="716" t="str">
        <f>'Talnagögn | Numerical Data'!$D$7</f>
        <v>Landbúnaður</v>
      </c>
      <c r="P11" s="546" cm="1">
        <f t="array" ref="P11">INDEX('Talnagögn | Numerical Data'!$1:$1048576,_xlfn.XMATCH($B11,'Talnagögn | Numerical Data'!$B:$B),_xlfn.XMATCH($B$4,'Talnagögn | Numerical Data'!$1:$1))-INDEX('Talnagögn | Numerical Data'!$1:$1048576,_xlfn.XMATCH($A11,'Talnagögn | Numerical Data'!$A:$A),_xlfn.XMATCH($B$2,'Talnagögn | Numerical Data'!$1:$1))</f>
        <v>-6.2097456645392413</v>
      </c>
      <c r="Q11" s="724" cm="1">
        <f t="array" ref="Q11">INDEX('Talnagögn | Numerical Data'!$1:$1048576,_xlfn.XMATCH($B11,'Talnagögn | Numerical Data'!$B:$B),_xlfn.XMATCH($B$4,'Talnagögn | Numerical Data'!$1:$1))/INDEX('Talnagögn | Numerical Data'!$1:$1048576,_xlfn.XMATCH($A11,'Talnagögn | Numerical Data'!$A:$A),_xlfn.XMATCH($B$2,'Talnagögn | Numerical Data'!$1:$1))-1</f>
        <v>-9.1811759370589163E-3</v>
      </c>
      <c r="R11" s="540" cm="1">
        <f t="array" ref="R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Data'!$A:$A),_xlfn.XMATCH($B$1,'Talnagögn | Numerical Data'!$1:$1))</f>
        <v>-71.788039626321506</v>
      </c>
      <c r="S11" s="542" cm="1">
        <f t="array" ref="S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Data'!$A:$A),_xlfn.XMATCH($B$1,'Talnagögn | Numerical Data'!$1:$1))-1</f>
        <v>-0.10171578640649181</v>
      </c>
      <c r="AD11" s="760"/>
      <c r="AE11" s="251"/>
      <c r="AG11" s="716" t="str">
        <f>'Talnagögn | Numerical Data'!$E$7</f>
        <v>Agriculture</v>
      </c>
      <c r="AH11" s="540" cm="1">
        <f t="array" ref="AH11">INDEX('Talnagögn | Numerical Data'!$1:$1048576,_xlfn.XMATCH($A11,'Talnagögn | Numerical Data'!$A:$A),_xlfn.XMATCH($A$1,'Talnagögn | Numerical Data'!$1:$1))</f>
        <v>669.59914464131464</v>
      </c>
      <c r="AI11" s="718">
        <f>$F11/$F$14</f>
        <v>6.0640656705359473E-2</v>
      </c>
      <c r="AJ11" s="546" cm="1">
        <f t="array" ref="AJ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Data'!$A:$A),_xlfn.XMATCH($B$3,'Talnagögn | Numerical Data'!$1:$1))</f>
        <v>-6.0262763072659027</v>
      </c>
      <c r="AK11" s="724" cm="1">
        <f t="array" ref="AK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Data'!$A:$A),_xlfn.XMATCH($B$3,'Talnagögn | Numerical Data'!$1:$1))-1</f>
        <v>-8.9195523442634483E-3</v>
      </c>
      <c r="AL11" s="546" cm="1">
        <f t="array" ref="AL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Data'!$A:$A),_xlfn.XMATCH($B$2,'Talnagögn | Numerical Data'!$1:$1))</f>
        <v>-6.7570985142256177</v>
      </c>
      <c r="AM11" s="718" cm="1">
        <f t="array" ref="AM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Data'!$A:$A),_xlfn.XMATCH($B$2,'Talnagögn | Numerical Data'!$1:$1))-1</f>
        <v>-9.9904430285145951E-3</v>
      </c>
      <c r="AN11" s="540" cm="1">
        <f t="array" ref="AN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Data'!$A:$A),_xlfn.XMATCH($B$1,'Talnagögn | Numerical Data'!$1:$1))</f>
        <v>-36.171730878748576</v>
      </c>
      <c r="AO11" s="720" cm="1">
        <f t="array" ref="AO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Data'!$A:$A),_xlfn.XMATCH($B$1,'Talnagögn | Numerical Data'!$1:$1))-1</f>
        <v>-5.1251379354658955E-2</v>
      </c>
      <c r="AP11" s="8"/>
      <c r="AQ11" s="716" t="str">
        <f>'Talnagögn | Numerical Data'!$E$7</f>
        <v>Agriculture</v>
      </c>
      <c r="AR11" s="546" cm="1">
        <f t="array" ref="AR11">INDEX('Talnagögn | Numerical Data'!$1:$1048576,_xlfn.XMATCH($B11,'Talnagögn | Numerical Data'!$B:$B),_xlfn.XMATCH($B$4,'Talnagögn | Numerical Data'!$1:$1))-INDEX('Talnagögn | Numerical Data'!$1:$1048576,_xlfn.XMATCH($A11,'Talnagögn | Numerical Data'!$A:$A),_xlfn.XMATCH($B$2,'Talnagögn | Numerical Data'!$1:$1))</f>
        <v>-6.2097456645392413</v>
      </c>
      <c r="AS11" s="724" cm="1">
        <f t="array" ref="AS11">INDEX('Talnagögn | Numerical Data'!$1:$1048576,_xlfn.XMATCH($B11,'Talnagögn | Numerical Data'!$B:$B),_xlfn.XMATCH($B$4,'Talnagögn | Numerical Data'!$1:$1))/INDEX('Talnagögn | Numerical Data'!$1:$1048576,_xlfn.XMATCH($A11,'Talnagögn | Numerical Data'!$A:$A),_xlfn.XMATCH($B$2,'Talnagögn | Numerical Data'!$1:$1))-1</f>
        <v>-9.1811759370589163E-3</v>
      </c>
      <c r="AT11" s="540" cm="1">
        <f t="array" ref="AT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Data'!$A:$A),_xlfn.XMATCH($B$1,'Talnagögn | Numerical Data'!$1:$1))</f>
        <v>-71.788039626321506</v>
      </c>
      <c r="AU11" s="717" cm="1">
        <f t="array" ref="AU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Data'!$A:$A),_xlfn.XMATCH($B$1,'Talnagögn | Numerical Data'!$1:$1))-1</f>
        <v>-0.10171578640649181</v>
      </c>
      <c r="AV11" s="540" t="e" cm="1">
        <f t="array" ref="AV11">INDEX('Talnagögn | Numerical Data'!$1:$1048576,_xlfn.XMATCH($C11,'Talnagögn | Numerical Data'!$B:$B),_xlfn.XMATCH($B$4,'Talnagögn | Numerical Data'!$1:$1))-INDEX('Talnagögn | Numerical Data'!$1:$1048576,_xlfn.XMATCH($A11,'Talnagögn | Numerical Data'!$A:$A),_xlfn.XMATCH($B$2,'Talnagögn | Numerical Data'!$1:$1))</f>
        <v>#N/A</v>
      </c>
      <c r="AW11" s="543" t="e" cm="1">
        <f t="array" ref="AW11">INDEX('Talnagögn | Numerical Data'!$1:$1048576,_xlfn.XMATCH($C11,'Talnagögn | Numerical Data'!$B:$B),_xlfn.XMATCH($B$4,'Talnagögn | Numerical Data'!$1:$1))/INDEX('Talnagögn | Numerical Data'!$1:$1048576,_xlfn.XMATCH($A11,'Talnagögn | Numerical Data'!$A:$A),_xlfn.XMATCH($B$2,'Talnagögn | Numerical Data'!$1:$1))-1</f>
        <v>#N/A</v>
      </c>
      <c r="AX11" s="8"/>
      <c r="AY11" s="8"/>
      <c r="AZ11" s="8"/>
      <c r="BA11" s="8"/>
      <c r="BB11" s="8"/>
      <c r="BC11" s="8"/>
    </row>
    <row r="12" spans="1:55" ht="21" customHeight="1" x14ac:dyDescent="0.4">
      <c r="A12" s="4" t="s">
        <v>45</v>
      </c>
      <c r="B12" s="4" t="s">
        <v>269</v>
      </c>
      <c r="C12" s="4" t="s">
        <v>276</v>
      </c>
      <c r="D12" s="245" t="s">
        <v>48</v>
      </c>
      <c r="E12" s="721" t="str">
        <f>'Talnagögn | Numerical Data'!$D$8</f>
        <v>Landnotkun</v>
      </c>
      <c r="F12" s="540" cm="1">
        <f t="array" ref="F12">INDEX('Talnagögn | Numerical Data'!$1:$1048576,_xlfn.XMATCH($A12,'Talnagögn | Numerical Data'!$A:$A),_xlfn.XMATCH($A$1,'Talnagögn | Numerical Data'!$1:$1))</f>
        <v>6268.7228611357514</v>
      </c>
      <c r="G12" s="717">
        <f>$F12/$F$14</f>
        <v>0.5677120020916423</v>
      </c>
      <c r="H12" s="540" cm="1">
        <f t="array" ref="H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Data'!$A:$A),_xlfn.XMATCH($B$3,'Talnagögn | Numerical Data'!$1:$1))</f>
        <v>21.717931307933213</v>
      </c>
      <c r="I12" s="724" cm="1">
        <f t="array" ref="I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Data'!$A:$A),_xlfn.XMATCH($B$3,'Talnagögn | Numerical Data'!$1:$1))-1</f>
        <v>3.4765350038761245E-3</v>
      </c>
      <c r="J12" s="722" cm="1">
        <f t="array" ref="J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Data'!$A:$A),_xlfn.XMATCH($B$2,'Talnagögn | Numerical Data'!$1:$1))</f>
        <v>0.56860473866163375</v>
      </c>
      <c r="K12" s="723" cm="1">
        <f t="array" ref="K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Data'!$A:$A),_xlfn.XMATCH($B$2,'Talnagögn | Numerical Data'!$1:$1))-1</f>
        <v>9.0713265086250772E-5</v>
      </c>
      <c r="L12" s="546" cm="1">
        <f t="array" ref="L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Data'!$A:$A),_xlfn.XMATCH($B$1,'Talnagögn | Numerical Data'!$1:$1))</f>
        <v>-1.2648763893921569</v>
      </c>
      <c r="M12" s="1010" cm="1">
        <f t="array" ref="M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Data'!$A:$A),_xlfn.XMATCH($B$1,'Talnagögn | Numerical Data'!$1:$1))-1</f>
        <v>-2.017350658952699E-4</v>
      </c>
      <c r="O12" s="721" t="str">
        <f>'Talnagögn | Numerical Data'!$D$8</f>
        <v>Landnotkun</v>
      </c>
      <c r="P12" s="540" cm="1">
        <f t="array" ref="P12">INDEX('Talnagögn | Numerical Data'!$1:$1048576,_xlfn.XMATCH($B12,'Talnagögn | Numerical Data'!$B:$B),_xlfn.XMATCH($B$4,'Talnagögn | Numerical Data'!$1:$1))-INDEX('Talnagögn | Numerical Data'!$1:$1048576,_xlfn.XMATCH($A12,'Talnagögn | Numerical Data'!$A:$A),_xlfn.XMATCH($B$2,'Talnagögn | Numerical Data'!$1:$1))</f>
        <v>-142.44647878868727</v>
      </c>
      <c r="Q12" s="718" cm="1">
        <f t="array" ref="Q12">INDEX('Talnagögn | Numerical Data'!$1:$1048576,_xlfn.XMATCH($B12,'Talnagögn | Numerical Data'!$B:$B),_xlfn.XMATCH($B$4,'Talnagögn | Numerical Data'!$1:$1))/INDEX('Talnagögn | Numerical Data'!$1:$1048576,_xlfn.XMATCH($A12,'Talnagögn | Numerical Data'!$A:$A),_xlfn.XMATCH($B$2,'Talnagögn | Numerical Data'!$1:$1))-1</f>
        <v>-2.2725426491109535E-2</v>
      </c>
      <c r="R12" s="540" cm="1">
        <f t="array" ref="R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Data'!$A:$A),_xlfn.XMATCH($B$1,'Talnagögn | Numerical Data'!$1:$1))</f>
        <v>-1527.4280452954481</v>
      </c>
      <c r="S12" s="542" cm="1">
        <f t="array" ref="S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Data'!$A:$A),_xlfn.XMATCH($B$1,'Talnagögn | Numerical Data'!$1:$1))-1</f>
        <v>-0.24360941507970901</v>
      </c>
      <c r="AD12" s="760"/>
      <c r="AE12" s="251"/>
      <c r="AG12" s="721" t="str">
        <f>'Talnagögn | Numerical Data'!$E$8</f>
        <v>Land use, Land-Use Change and Forestry</v>
      </c>
      <c r="AH12" s="540" cm="1">
        <f t="array" ref="AH12">INDEX('Talnagögn | Numerical Data'!$1:$1048576,_xlfn.XMATCH($A12,'Talnagögn | Numerical Data'!$A:$A),_xlfn.XMATCH($A$1,'Talnagögn | Numerical Data'!$1:$1))</f>
        <v>6268.7228611357514</v>
      </c>
      <c r="AI12" s="717">
        <f>$F12/$F$14</f>
        <v>0.5677120020916423</v>
      </c>
      <c r="AJ12" s="540" cm="1">
        <f t="array" ref="AJ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Data'!$A:$A),_xlfn.XMATCH($B$3,'Talnagögn | Numerical Data'!$1:$1))</f>
        <v>21.717931307933213</v>
      </c>
      <c r="AK12" s="724" cm="1">
        <f t="array" ref="AK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Data'!$A:$A),_xlfn.XMATCH($B$3,'Talnagögn | Numerical Data'!$1:$1))-1</f>
        <v>3.4765350038761245E-3</v>
      </c>
      <c r="AL12" s="722" cm="1">
        <f t="array" ref="AL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Data'!$A:$A),_xlfn.XMATCH($B$2,'Talnagögn | Numerical Data'!$1:$1))</f>
        <v>0.56860473866163375</v>
      </c>
      <c r="AM12" s="723" cm="1">
        <f t="array" ref="AM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Data'!$A:$A),_xlfn.XMATCH($B$2,'Talnagögn | Numerical Data'!$1:$1))-1</f>
        <v>9.0713265086250772E-5</v>
      </c>
      <c r="AN12" s="546" cm="1">
        <f t="array" ref="AN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Data'!$A:$A),_xlfn.XMATCH($B$1,'Talnagögn | Numerical Data'!$1:$1))</f>
        <v>-1.2648763893921569</v>
      </c>
      <c r="AO12" s="1010" cm="1">
        <f t="array" ref="AO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Data'!$A:$A),_xlfn.XMATCH($B$1,'Talnagögn | Numerical Data'!$1:$1))-1</f>
        <v>-2.017350658952699E-4</v>
      </c>
      <c r="AP12" s="8"/>
      <c r="AQ12" s="721" t="str">
        <f>'Talnagögn | Numerical Data'!$E$8</f>
        <v>Land use, Land-Use Change and Forestry</v>
      </c>
      <c r="AR12" s="540" cm="1">
        <f t="array" ref="AR12">INDEX('Talnagögn | Numerical Data'!$1:$1048576,_xlfn.XMATCH($B12,'Talnagögn | Numerical Data'!$B:$B),_xlfn.XMATCH($B$4,'Talnagögn | Numerical Data'!$1:$1))-INDEX('Talnagögn | Numerical Data'!$1:$1048576,_xlfn.XMATCH($A12,'Talnagögn | Numerical Data'!$A:$A),_xlfn.XMATCH($B$2,'Talnagögn | Numerical Data'!$1:$1))</f>
        <v>-142.44647878868727</v>
      </c>
      <c r="AS12" s="718" cm="1">
        <f t="array" ref="AS12">INDEX('Talnagögn | Numerical Data'!$1:$1048576,_xlfn.XMATCH($B12,'Talnagögn | Numerical Data'!$B:$B),_xlfn.XMATCH($B$4,'Talnagögn | Numerical Data'!$1:$1))/INDEX('Talnagögn | Numerical Data'!$1:$1048576,_xlfn.XMATCH($A12,'Talnagögn | Numerical Data'!$A:$A),_xlfn.XMATCH($B$2,'Talnagögn | Numerical Data'!$1:$1))-1</f>
        <v>-2.2725426491109535E-2</v>
      </c>
      <c r="AT12" s="540" cm="1">
        <f t="array" ref="AT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Data'!$A:$A),_xlfn.XMATCH($B$1,'Talnagögn | Numerical Data'!$1:$1))</f>
        <v>-1527.4280452954481</v>
      </c>
      <c r="AU12" s="717" cm="1">
        <f t="array" ref="AU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Data'!$A:$A),_xlfn.XMATCH($B$1,'Talnagögn | Numerical Data'!$1:$1))-1</f>
        <v>-0.24360941507970901</v>
      </c>
      <c r="AV12" s="540" t="e" cm="1">
        <f t="array" ref="AV12">INDEX('Talnagögn | Numerical Data'!$1:$1048576,_xlfn.XMATCH($C12,'Talnagögn | Numerical Data'!$B:$B),_xlfn.XMATCH($B$4,'Talnagögn | Numerical Data'!$1:$1))-INDEX('Talnagögn | Numerical Data'!$1:$1048576,_xlfn.XMATCH($A12,'Talnagögn | Numerical Data'!$A:$A),_xlfn.XMATCH($B$2,'Talnagögn | Numerical Data'!$1:$1))</f>
        <v>#N/A</v>
      </c>
      <c r="AW12" s="543" t="e" cm="1">
        <f t="array" ref="AW12">INDEX('Talnagögn | Numerical Data'!$1:$1048576,_xlfn.XMATCH($C12,'Talnagögn | Numerical Data'!$B:$B),_xlfn.XMATCH($B$4,'Talnagögn | Numerical Data'!$1:$1))/INDEX('Talnagögn | Numerical Data'!$1:$1048576,_xlfn.XMATCH($A12,'Talnagögn | Numerical Data'!$A:$A),_xlfn.XMATCH($B$2,'Talnagögn | Numerical Data'!$1:$1))-1</f>
        <v>#N/A</v>
      </c>
      <c r="AX12" s="8"/>
      <c r="AY12" s="8"/>
      <c r="AZ12" s="8"/>
      <c r="BA12" s="8"/>
      <c r="BB12" s="8"/>
      <c r="BC12" s="8"/>
    </row>
    <row r="13" spans="1:55" ht="21" customHeight="1" x14ac:dyDescent="0.4">
      <c r="A13" s="4" t="s">
        <v>46</v>
      </c>
      <c r="B13" s="4" t="s">
        <v>270</v>
      </c>
      <c r="C13" s="4" t="s">
        <v>277</v>
      </c>
      <c r="D13" s="245" t="s">
        <v>48</v>
      </c>
      <c r="E13" s="725" t="str">
        <f>'Talnagögn | Numerical Data'!$D$9</f>
        <v>Úrgangur</v>
      </c>
      <c r="F13" s="726" cm="1">
        <f t="array" ref="F13">INDEX('Talnagögn | Numerical Data'!$1:$1048576,_xlfn.XMATCH($A13,'Talnagögn | Numerical Data'!$A:$A),_xlfn.XMATCH($A$1,'Talnagögn | Numerical Data'!$1:$1))</f>
        <v>238.29994109170406</v>
      </c>
      <c r="G13" s="727">
        <f>$F13/$F$14</f>
        <v>2.158106836947981E-2</v>
      </c>
      <c r="H13" s="1009" cm="1">
        <f t="array" ref="H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Data'!$A:$A),_xlfn.XMATCH($B$3,'Talnagögn | Numerical Data'!$1:$1))</f>
        <v>-9.2089246649518657</v>
      </c>
      <c r="I13" s="727" cm="1">
        <f t="array" ref="I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Data'!$A:$A),_xlfn.XMATCH($B$3,'Talnagögn | Numerical Data'!$1:$1))-1</f>
        <v>-3.7206443643137299E-2</v>
      </c>
      <c r="J13" s="726" cm="1">
        <f t="array" ref="J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Data'!$A:$A),_xlfn.XMATCH($B$2,'Talnagögn | Numerical Data'!$1:$1))</f>
        <v>-71.155145258225446</v>
      </c>
      <c r="K13" s="728" cm="1">
        <f t="array" ref="K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Data'!$A:$A),_xlfn.XMATCH($B$2,'Talnagögn | Numerical Data'!$1:$1))-1</f>
        <v>-0.22993690650721355</v>
      </c>
      <c r="L13" s="726" cm="1">
        <f t="array" ref="L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Data'!$A:$A),_xlfn.XMATCH($B$1,'Talnagögn | Numerical Data'!$1:$1))</f>
        <v>30.818805742526479</v>
      </c>
      <c r="M13" s="729" cm="1">
        <f t="array" ref="M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Data'!$A:$A),_xlfn.XMATCH($B$1,'Talnagögn | Numerical Data'!$1:$1))-1</f>
        <v>0.14853786919307321</v>
      </c>
      <c r="O13" s="725" t="str">
        <f>'Talnagögn | Numerical Data'!$D$9</f>
        <v>Úrgangur</v>
      </c>
      <c r="P13" s="726" cm="1">
        <f t="array" ref="P13">INDEX('Talnagögn | Numerical Data'!$1:$1048576,_xlfn.XMATCH($B13,'Talnagögn | Numerical Data'!$B:$B),_xlfn.XMATCH($B$4,'Talnagögn | Numerical Data'!$1:$1))-INDEX('Talnagögn | Numerical Data'!$1:$1048576,_xlfn.XMATCH($A13,'Talnagögn | Numerical Data'!$A:$A),_xlfn.XMATCH($B$2,'Talnagögn | Numerical Data'!$1:$1))</f>
        <v>-152.43221888630947</v>
      </c>
      <c r="Q13" s="728" cm="1">
        <f t="array" ref="Q13">INDEX('Talnagögn | Numerical Data'!$1:$1048576,_xlfn.XMATCH($B13,'Talnagögn | Numerical Data'!$B:$B),_xlfn.XMATCH($B$4,'Talnagögn | Numerical Data'!$1:$1))/INDEX('Talnagögn | Numerical Data'!$1:$1048576,_xlfn.XMATCH($A13,'Talnagögn | Numerical Data'!$A:$A),_xlfn.XMATCH($B$2,'Talnagögn | Numerical Data'!$1:$1))-1</f>
        <v>-0.49258269005777544</v>
      </c>
      <c r="R13" s="726" cm="1">
        <f t="array" ref="R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Data'!$A:$A),_xlfn.XMATCH($B$1,'Talnagögn | Numerical Data'!$1:$1))</f>
        <v>-136.88652171680832</v>
      </c>
      <c r="S13" s="729" cm="1">
        <f t="array" ref="S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Data'!$A:$A),_xlfn.XMATCH($B$1,'Talnagögn | Numerical Data'!$1:$1))-1</f>
        <v>-0.65975406143038984</v>
      </c>
      <c r="AD13" s="760"/>
      <c r="AE13" s="251"/>
      <c r="AG13" s="725" t="str">
        <f>'Talnagögn | Numerical Data'!$E$9</f>
        <v>Waste</v>
      </c>
      <c r="AH13" s="726" cm="1">
        <f t="array" ref="AH13">INDEX('Talnagögn | Numerical Data'!$1:$1048576,_xlfn.XMATCH($A13,'Talnagögn | Numerical Data'!$A:$A),_xlfn.XMATCH($A$1,'Talnagögn | Numerical Data'!$1:$1))</f>
        <v>238.29994109170406</v>
      </c>
      <c r="AI13" s="727">
        <f>$F13/$F$14</f>
        <v>2.158106836947981E-2</v>
      </c>
      <c r="AJ13" s="1009" cm="1">
        <f t="array" ref="AJ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Data'!$A:$A),_xlfn.XMATCH($B$3,'Talnagögn | Numerical Data'!$1:$1))</f>
        <v>-9.2089246649518657</v>
      </c>
      <c r="AK13" s="727" cm="1">
        <f t="array" ref="AK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Data'!$A:$A),_xlfn.XMATCH($B$3,'Talnagögn | Numerical Data'!$1:$1))-1</f>
        <v>-3.7206443643137299E-2</v>
      </c>
      <c r="AL13" s="726" cm="1">
        <f t="array" ref="AL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Data'!$A:$A),_xlfn.XMATCH($B$2,'Talnagögn | Numerical Data'!$1:$1))</f>
        <v>-71.155145258225446</v>
      </c>
      <c r="AM13" s="728" cm="1">
        <f t="array" ref="AM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Data'!$A:$A),_xlfn.XMATCH($B$2,'Talnagögn | Numerical Data'!$1:$1))-1</f>
        <v>-0.22993690650721355</v>
      </c>
      <c r="AN13" s="726" cm="1">
        <f t="array" ref="AN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Data'!$A:$A),_xlfn.XMATCH($B$1,'Talnagögn | Numerical Data'!$1:$1))</f>
        <v>30.818805742526479</v>
      </c>
      <c r="AO13" s="729" cm="1">
        <f t="array" ref="AO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Data'!$A:$A),_xlfn.XMATCH($B$1,'Talnagögn | Numerical Data'!$1:$1))-1</f>
        <v>0.14853786919307321</v>
      </c>
      <c r="AP13" s="8"/>
      <c r="AQ13" s="725" t="str">
        <f>'Talnagögn | Numerical Data'!$E$9</f>
        <v>Waste</v>
      </c>
      <c r="AR13" s="726" cm="1">
        <f t="array" ref="AR13">INDEX('Talnagögn | Numerical Data'!$1:$1048576,_xlfn.XMATCH($B13,'Talnagögn | Numerical Data'!$B:$B),_xlfn.XMATCH($B$4,'Talnagögn | Numerical Data'!$1:$1))-INDEX('Talnagögn | Numerical Data'!$1:$1048576,_xlfn.XMATCH($A13,'Talnagögn | Numerical Data'!$A:$A),_xlfn.XMATCH($B$2,'Talnagögn | Numerical Data'!$1:$1))</f>
        <v>-152.43221888630947</v>
      </c>
      <c r="AS13" s="728" cm="1">
        <f t="array" ref="AS13">INDEX('Talnagögn | Numerical Data'!$1:$1048576,_xlfn.XMATCH($B13,'Talnagögn | Numerical Data'!$B:$B),_xlfn.XMATCH($B$4,'Talnagögn | Numerical Data'!$1:$1))/INDEX('Talnagögn | Numerical Data'!$1:$1048576,_xlfn.XMATCH($A13,'Talnagögn | Numerical Data'!$A:$A),_xlfn.XMATCH($B$2,'Talnagögn | Numerical Data'!$1:$1))-1</f>
        <v>-0.49258269005777544</v>
      </c>
      <c r="AT13" s="726" cm="1">
        <f t="array" ref="AT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Data'!$A:$A),_xlfn.XMATCH($B$1,'Talnagögn | Numerical Data'!$1:$1))</f>
        <v>-136.88652171680832</v>
      </c>
      <c r="AU13" s="728" cm="1">
        <f t="array" ref="AU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Data'!$A:$A),_xlfn.XMATCH($B$1,'Talnagögn | Numerical Data'!$1:$1))-1</f>
        <v>-0.65975406143038984</v>
      </c>
      <c r="AV13" s="726" t="e" cm="1">
        <f t="array" ref="AV13">INDEX('Talnagögn | Numerical Data'!$1:$1048576,_xlfn.XMATCH($C13,'Talnagögn | Numerical Data'!$B:$B),_xlfn.XMATCH($B$4,'Talnagögn | Numerical Data'!$1:$1))-INDEX('Talnagögn | Numerical Data'!$1:$1048576,_xlfn.XMATCH($A13,'Talnagögn | Numerical Data'!$A:$A),_xlfn.XMATCH($B$2,'Talnagögn | Numerical Data'!$1:$1))</f>
        <v>#N/A</v>
      </c>
      <c r="AW13" s="729" t="e" cm="1">
        <f t="array" ref="AW13">INDEX('Talnagögn | Numerical Data'!$1:$1048576,_xlfn.XMATCH($C13,'Talnagögn | Numerical Data'!$B:$B),_xlfn.XMATCH($B$4,'Talnagögn | Numerical Data'!$1:$1))/INDEX('Talnagögn | Numerical Data'!$1:$1048576,_xlfn.XMATCH($A13,'Talnagögn | Numerical Data'!$A:$A),_xlfn.XMATCH($B$2,'Talnagögn | Numerical Data'!$1:$1))-1</f>
        <v>#N/A</v>
      </c>
      <c r="AX13" s="8"/>
      <c r="AY13" s="8"/>
      <c r="AZ13" s="8"/>
      <c r="BA13" s="8"/>
      <c r="BB13" s="8"/>
      <c r="BC13" s="8"/>
    </row>
    <row r="14" spans="1:55" ht="21" customHeight="1" x14ac:dyDescent="0.4">
      <c r="A14" s="4" t="s">
        <v>47</v>
      </c>
      <c r="B14" s="4" t="s">
        <v>271</v>
      </c>
      <c r="C14" s="4" t="s">
        <v>278</v>
      </c>
      <c r="D14" s="245" t="s">
        <v>48</v>
      </c>
      <c r="E14" s="730" t="s">
        <v>209</v>
      </c>
      <c r="F14" s="731" cm="1">
        <f t="array" ref="F14">INDEX('Talnagögn | Numerical Data'!$1:$1048576,_xlfn.XMATCH($A14,'Talnagögn | Numerical Data'!$A:$A),_xlfn.XMATCH($A$1,'Talnagögn | Numerical Data'!$1:$1))</f>
        <v>11042.082672269855</v>
      </c>
      <c r="G14" s="732">
        <f>SUM($G$9:$G$13)</f>
        <v>0.99999999999999989</v>
      </c>
      <c r="H14" s="731" cm="1">
        <f t="array" ref="H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Data'!$A:$A),_xlfn.XMATCH($B$3,'Talnagögn | Numerical Data'!$1:$1))</f>
        <v>151.48773276060092</v>
      </c>
      <c r="I14" s="733" cm="1">
        <f t="array" ref="I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Data'!$A:$A),_xlfn.XMATCH($B$3,'Talnagögn | Numerical Data'!$1:$1))-1</f>
        <v>1.3909959336659172E-2</v>
      </c>
      <c r="J14" s="731" cm="1">
        <f t="array" ref="J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Data'!$A:$A),_xlfn.XMATCH($B$2,'Talnagögn | Numerical Data'!$1:$1))</f>
        <v>679.71884787748786</v>
      </c>
      <c r="K14" s="733" cm="1">
        <f t="array" ref="K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Data'!$A:$A),_xlfn.XMATCH($B$2,'Talnagögn | Numerical Data'!$1:$1))-1</f>
        <v>6.5594960705536165E-2</v>
      </c>
      <c r="L14" s="731" cm="1">
        <f t="array" ref="L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Data'!$A:$A),_xlfn.XMATCH($B$1,'Talnagögn | Numerical Data'!$1:$1))</f>
        <v>1116.7204762172569</v>
      </c>
      <c r="M14" s="734" cm="1">
        <f t="array" ref="M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Data'!$A:$A),_xlfn.XMATCH($B$1,'Talnagögn | Numerical Data'!$1:$1))-1</f>
        <v>0.11251181107137698</v>
      </c>
      <c r="O14" s="730" t="s">
        <v>209</v>
      </c>
      <c r="P14" s="731" cm="1">
        <f t="array" ref="P14">INDEX('Talnagögn | Numerical Data'!$1:$1048576,_xlfn.XMATCH($B14,'Talnagögn | Numerical Data'!$B:$B),_xlfn.XMATCH($B$4,'Talnagögn | Numerical Data'!$1:$1))-INDEX('Talnagögn | Numerical Data'!$1:$1048576,_xlfn.XMATCH($A14,'Talnagögn | Numerical Data'!$A:$A),_xlfn.XMATCH($B$2,'Talnagögn | Numerical Data'!$1:$1))</f>
        <v>118.04789536016506</v>
      </c>
      <c r="Q14" s="1011" cm="1">
        <f t="array" ref="Q14">INDEX('Talnagögn | Numerical Data'!$1:$1048576,_xlfn.XMATCH($B14,'Talnagögn | Numerical Data'!$B:$B),_xlfn.XMATCH($B$4,'Talnagögn | Numerical Data'!$1:$1))/INDEX('Talnagögn | Numerical Data'!$1:$1048576,_xlfn.XMATCH($A14,'Talnagögn | Numerical Data'!$A:$A),_xlfn.XMATCH($B$2,'Talnagögn | Numerical Data'!$1:$1))-1</f>
        <v>1.1391985203442534E-2</v>
      </c>
      <c r="R14" s="731" cm="1">
        <f t="array" ref="R14">INDEX('Talnagögn | Numerical Data'!$1:$1048576,_xlfn.XMATCH($B14,'Talnagögn | Numerical Data'!$B:$B),_xlfn.XMATCH($B$5,'Talnagögn | Numerical Data'!$1:$1))-INDEX('Talnagögn | Numerical Data'!$1:$1048576,_xlfn.XMATCH($A14,'Talnagögn | Numerical Data'!$A:$A),_xlfn.XMATCH($B$1,'Talnagögn | Numerical Data'!$1:$1))</f>
        <v>-2262.585200606145</v>
      </c>
      <c r="S14" s="738" cm="1">
        <f t="array" ref="S14">INDEX('Talnagögn | Numerical Data'!$1:$1048576,_xlfn.XMATCH($B14,'Talnagögn | Numerical Data'!$B:$B),_xlfn.XMATCH($B$5,'Talnagögn | Numerical Data'!$1:$1))/INDEX('Talnagögn | Numerical Data'!$1:$1048576,_xlfn.XMATCH($A14,'Talnagögn | Numerical Data'!$A:$A),_xlfn.XMATCH($B$1,'Talnagögn | Numerical Data'!$1:$1))-1</f>
        <v>-0.22795996316446721</v>
      </c>
      <c r="AE14" s="251"/>
      <c r="AG14" s="730" t="s">
        <v>177</v>
      </c>
      <c r="AH14" s="731" cm="1">
        <f t="array" ref="AH14">INDEX('Talnagögn | Numerical Data'!$1:$1048576,_xlfn.XMATCH($A14,'Talnagögn | Numerical Data'!$A:$A),_xlfn.XMATCH($A$1,'Talnagögn | Numerical Data'!$1:$1))</f>
        <v>11042.082672269855</v>
      </c>
      <c r="AI14" s="732">
        <f>SUM($G$9:$G$13)</f>
        <v>0.99999999999999989</v>
      </c>
      <c r="AJ14" s="731" cm="1">
        <f t="array" ref="AJ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Data'!$A:$A),_xlfn.XMATCH($B$3,'Talnagögn | Numerical Data'!$1:$1))</f>
        <v>151.48773276060092</v>
      </c>
      <c r="AK14" s="733" cm="1">
        <f t="array" ref="AK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Data'!$A:$A),_xlfn.XMATCH($B$3,'Talnagögn | Numerical Data'!$1:$1))-1</f>
        <v>1.3909959336659172E-2</v>
      </c>
      <c r="AL14" s="731" cm="1">
        <f t="array" ref="AL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Data'!$A:$A),_xlfn.XMATCH($B$2,'Talnagögn | Numerical Data'!$1:$1))</f>
        <v>679.71884787748786</v>
      </c>
      <c r="AM14" s="733" cm="1">
        <f t="array" ref="AM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Data'!$A:$A),_xlfn.XMATCH($B$2,'Talnagögn | Numerical Data'!$1:$1))-1</f>
        <v>6.5594960705536165E-2</v>
      </c>
      <c r="AN14" s="731" cm="1">
        <f t="array" ref="AN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Data'!$A:$A),_xlfn.XMATCH($B$1,'Talnagögn | Numerical Data'!$1:$1))</f>
        <v>1116.7204762172569</v>
      </c>
      <c r="AO14" s="734" cm="1">
        <f t="array" ref="AO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Data'!$A:$A),_xlfn.XMATCH($B$1,'Talnagögn | Numerical Data'!$1:$1))-1</f>
        <v>0.11251181107137698</v>
      </c>
      <c r="AP14" s="8"/>
      <c r="AQ14" s="730" t="s">
        <v>177</v>
      </c>
      <c r="AR14" s="731" cm="1">
        <f t="array" ref="AR14">INDEX('Talnagögn | Numerical Data'!$1:$1048576,_xlfn.XMATCH($B14,'Talnagögn | Numerical Data'!$B:$B),_xlfn.XMATCH($B$4,'Talnagögn | Numerical Data'!$1:$1))-INDEX('Talnagögn | Numerical Data'!$1:$1048576,_xlfn.XMATCH($A14,'Talnagögn | Numerical Data'!$A:$A),_xlfn.XMATCH($B$2,'Talnagögn | Numerical Data'!$1:$1))</f>
        <v>118.04789536016506</v>
      </c>
      <c r="AS14" s="735" cm="1">
        <f t="array" ref="AS14">INDEX('Talnagögn | Numerical Data'!$1:$1048576,_xlfn.XMATCH($B14,'Talnagögn | Numerical Data'!$B:$B),_xlfn.XMATCH($B$4,'Talnagögn | Numerical Data'!$1:$1))/INDEX('Talnagögn | Numerical Data'!$1:$1048576,_xlfn.XMATCH($A14,'Talnagögn | Numerical Data'!$A:$A),_xlfn.XMATCH($B$2,'Talnagögn | Numerical Data'!$1:$1))-1</f>
        <v>1.1391985203442534E-2</v>
      </c>
      <c r="AT14" s="731" cm="1">
        <f t="array" ref="AT14">INDEX('Talnagögn | Numerical Data'!$1:$1048576,_xlfn.XMATCH($B14,'Talnagögn | Numerical Data'!$B:$B),_xlfn.XMATCH($B$5,'Talnagögn | Numerical Data'!$1:$1))-INDEX('Talnagögn | Numerical Data'!$1:$1048576,_xlfn.XMATCH($A14,'Talnagögn | Numerical Data'!$A:$A),_xlfn.XMATCH($B$1,'Talnagögn | Numerical Data'!$1:$1))</f>
        <v>-2262.585200606145</v>
      </c>
      <c r="AU14" s="736" cm="1">
        <f t="array" ref="AU14">INDEX('Talnagögn | Numerical Data'!$1:$1048576,_xlfn.XMATCH($B14,'Talnagögn | Numerical Data'!$B:$B),_xlfn.XMATCH($B$5,'Talnagögn | Numerical Data'!$1:$1))/INDEX('Talnagögn | Numerical Data'!$1:$1048576,_xlfn.XMATCH($A14,'Talnagögn | Numerical Data'!$A:$A),_xlfn.XMATCH($B$1,'Talnagögn | Numerical Data'!$1:$1))-1</f>
        <v>-0.22795996316446721</v>
      </c>
      <c r="AV14" s="731" t="e" cm="1">
        <f t="array" ref="AV14">INDEX('Talnagögn | Numerical Data'!$1:$1048576,_xlfn.XMATCH($C14,'Talnagögn | Numerical Data'!$B:$B),_xlfn.XMATCH($B$4,'Talnagögn | Numerical Data'!$1:$1))-INDEX('Talnagögn | Numerical Data'!$1:$1048576,_xlfn.XMATCH($A14,'Talnagögn | Numerical Data'!$A:$A),_xlfn.XMATCH($B$2,'Talnagögn | Numerical Data'!$1:$1))</f>
        <v>#N/A</v>
      </c>
      <c r="AW14" s="734" t="e" cm="1">
        <f t="array" ref="AW14">INDEX('Talnagögn | Numerical Data'!$1:$1048576,_xlfn.XMATCH($C14,'Talnagögn | Numerical Data'!$B:$B),_xlfn.XMATCH($B$4,'Talnagögn | Numerical Data'!$1:$1))/INDEX('Talnagögn | Numerical Data'!$1:$1048576,_xlfn.XMATCH($A14,'Talnagögn | Numerical Data'!$A:$A),_xlfn.XMATCH($B$2,'Talnagögn | Numerical Data'!$1:$1))-1</f>
        <v>#N/A</v>
      </c>
      <c r="AX14" s="8"/>
      <c r="AY14" s="8"/>
      <c r="AZ14" s="8"/>
      <c r="BA14" s="8"/>
      <c r="BB14" s="8"/>
      <c r="BC14" s="8"/>
    </row>
    <row r="15" spans="1:55" x14ac:dyDescent="0.4">
      <c r="B15" s="1038" t="s">
        <v>48</v>
      </c>
      <c r="D15" s="245" t="s">
        <v>48</v>
      </c>
      <c r="E15" s="246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761"/>
      <c r="S15" s="747"/>
      <c r="T15" s="747"/>
      <c r="U15" s="747"/>
      <c r="V15" s="747"/>
      <c r="W15" s="747"/>
      <c r="X15" s="749"/>
      <c r="Y15" s="397"/>
      <c r="Z15" s="397"/>
      <c r="AA15" s="397"/>
      <c r="AB15" s="397"/>
      <c r="AC15" s="397"/>
      <c r="AD15" s="762"/>
      <c r="AG15" s="246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32"/>
      <c r="AU15" s="233"/>
      <c r="AV15" s="233"/>
      <c r="AW15" s="233"/>
      <c r="AX15" s="8"/>
      <c r="AY15" s="8"/>
      <c r="AZ15" s="8"/>
      <c r="BA15" s="8"/>
      <c r="BB15" s="8"/>
      <c r="BC15" s="8"/>
    </row>
    <row r="16" spans="1:55" s="40" customFormat="1" x14ac:dyDescent="0.4">
      <c r="A16" s="50"/>
      <c r="B16" s="1038" t="s">
        <v>48</v>
      </c>
      <c r="C16" s="1038"/>
      <c r="D16" s="245" t="s">
        <v>48</v>
      </c>
      <c r="E16" s="246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761"/>
      <c r="S16" s="747"/>
      <c r="T16" s="747"/>
      <c r="U16" s="747"/>
      <c r="V16" s="747"/>
      <c r="W16" s="747"/>
      <c r="X16" s="749"/>
      <c r="Y16" s="397"/>
      <c r="Z16" s="397"/>
      <c r="AA16" s="397"/>
      <c r="AB16" s="397"/>
      <c r="AC16" s="397"/>
      <c r="AD16" s="762"/>
      <c r="AG16" s="246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32"/>
      <c r="AU16" s="233"/>
      <c r="AV16" s="233"/>
      <c r="AW16" s="233"/>
    </row>
    <row r="17" spans="1:55" s="40" customFormat="1" ht="34.799999999999997" x14ac:dyDescent="0.55000000000000004">
      <c r="A17" s="50"/>
      <c r="B17" s="1038"/>
      <c r="C17" s="1038"/>
      <c r="D17" s="245"/>
      <c r="E17" s="1131" t="s">
        <v>457</v>
      </c>
      <c r="F17" s="1131"/>
      <c r="G17" s="1131"/>
      <c r="H17" s="1131"/>
      <c r="I17" s="1131"/>
      <c r="J17" s="1131"/>
      <c r="K17" s="1131"/>
      <c r="L17" s="1131"/>
      <c r="M17" s="1131"/>
      <c r="N17" s="228"/>
      <c r="O17" s="1131" t="s">
        <v>457</v>
      </c>
      <c r="P17" s="747"/>
      <c r="Q17" s="747"/>
      <c r="R17" s="747"/>
      <c r="S17" s="747"/>
      <c r="T17" s="747"/>
      <c r="U17" s="747"/>
      <c r="V17" s="747"/>
      <c r="W17" s="747"/>
      <c r="X17" s="749"/>
      <c r="Y17" s="397"/>
      <c r="Z17" s="397"/>
      <c r="AA17" s="397"/>
      <c r="AB17" s="397"/>
      <c r="AC17" s="397"/>
      <c r="AD17" s="762"/>
      <c r="AG17" s="1131" t="s">
        <v>465</v>
      </c>
      <c r="AH17" s="1132"/>
      <c r="AI17" s="1132"/>
      <c r="AJ17" s="1132"/>
      <c r="AK17" s="1132"/>
      <c r="AL17" s="1132"/>
      <c r="AM17" s="1132"/>
      <c r="AN17" s="1132"/>
      <c r="AO17" s="1132"/>
      <c r="AP17" s="228"/>
      <c r="AQ17" s="1131" t="s">
        <v>465</v>
      </c>
      <c r="AR17" s="1131"/>
      <c r="AS17" s="1131"/>
      <c r="AT17" s="1131"/>
      <c r="AU17" s="1131"/>
      <c r="AV17" s="1131"/>
      <c r="AW17" s="1131"/>
      <c r="AX17" s="1131"/>
      <c r="AY17" s="1131"/>
    </row>
    <row r="18" spans="1:55" ht="48" customHeight="1" x14ac:dyDescent="0.4">
      <c r="D18" s="236"/>
      <c r="E18" s="1170" t="str">
        <f>$E$6</f>
        <v>STAÐAN ÁRIÐ 2024</v>
      </c>
      <c r="F18" s="757"/>
      <c r="G18" s="756"/>
      <c r="H18" s="756"/>
      <c r="I18" s="756"/>
      <c r="J18" s="756"/>
      <c r="K18" s="756"/>
      <c r="L18" s="756"/>
      <c r="M18" s="756"/>
      <c r="N18" s="228"/>
      <c r="O18" s="1170" t="str">
        <f>$O$6</f>
        <v>FRAMTÍÐAR-HORFUR</v>
      </c>
      <c r="P18" s="1261" t="s">
        <v>416</v>
      </c>
      <c r="Q18" s="1262"/>
      <c r="R18" s="1262"/>
      <c r="S18" s="1265"/>
      <c r="T18" s="763"/>
      <c r="U18" s="763"/>
      <c r="V18" s="763"/>
      <c r="W18" s="763"/>
      <c r="AG18" s="1170" t="str">
        <f>$AG$6</f>
        <v>2024 EMISSIONS</v>
      </c>
      <c r="AH18" s="754"/>
      <c r="AI18" s="755"/>
      <c r="AJ18" s="755"/>
      <c r="AK18" s="755"/>
      <c r="AL18" s="755"/>
      <c r="AM18" s="755"/>
      <c r="AN18" s="756"/>
      <c r="AO18" s="755"/>
      <c r="AP18" s="228"/>
      <c r="AQ18" s="1170" t="str">
        <f>$AQ$6</f>
        <v>OUTLOOKS</v>
      </c>
      <c r="AR18" s="1261" t="str">
        <f>$AR$6</f>
        <v>Estimated change in emissions based on
With Existing Measures scenario</v>
      </c>
      <c r="AS18" s="1262"/>
      <c r="AT18" s="1262"/>
      <c r="AU18" s="1262"/>
      <c r="AV18" s="1263" t="str">
        <f>$AV$6</f>
        <v>Estimated change in emissions based on
With Addiotional Measures scenario</v>
      </c>
      <c r="AW18" s="1262"/>
      <c r="AX18" s="8"/>
      <c r="AY18" s="8"/>
      <c r="AZ18" s="8"/>
      <c r="BA18" s="8"/>
      <c r="BB18" s="8"/>
      <c r="BC18" s="8"/>
    </row>
    <row r="19" spans="1:55" s="40" customFormat="1" ht="17.399999999999999" x14ac:dyDescent="0.4">
      <c r="A19" s="38"/>
      <c r="B19" s="1039" t="s">
        <v>48</v>
      </c>
      <c r="C19" s="1039"/>
      <c r="D19" s="245" t="s">
        <v>48</v>
      </c>
      <c r="E19" s="1170"/>
      <c r="F19" s="1198" t="str">
        <f>"Losun "&amp;$A$1</f>
        <v>Losun 2024</v>
      </c>
      <c r="G19" s="1199"/>
      <c r="H19" s="1179" t="str">
        <f>"Breyting frá "&amp;$B$3</f>
        <v>Breyting frá 2023</v>
      </c>
      <c r="I19" s="1199"/>
      <c r="J19" s="1179" t="str">
        <f>"Breyting frá "&amp;$B$2</f>
        <v>Breyting frá 2005</v>
      </c>
      <c r="K19" s="1199"/>
      <c r="L19" s="1179" t="str">
        <f>"Breyting frá "&amp;$B$1</f>
        <v>Breyting frá 1990</v>
      </c>
      <c r="M19" s="1264"/>
      <c r="N19" s="228"/>
      <c r="O19" s="1170"/>
      <c r="P19" s="1179" t="s">
        <v>417</v>
      </c>
      <c r="Q19" s="1199"/>
      <c r="R19" s="1179" t="s">
        <v>418</v>
      </c>
      <c r="S19" s="1199"/>
      <c r="T19" s="747"/>
      <c r="U19" s="747"/>
      <c r="V19" s="747"/>
      <c r="W19" s="747"/>
      <c r="X19" s="397"/>
      <c r="Y19" s="397"/>
      <c r="Z19" s="397"/>
      <c r="AA19" s="397"/>
      <c r="AB19" s="397"/>
      <c r="AC19" s="397"/>
      <c r="AD19" s="762"/>
      <c r="AG19" s="1170"/>
      <c r="AH19" s="1198" t="str">
        <f>$AH$7</f>
        <v>Emissions in 2023</v>
      </c>
      <c r="AI19" s="1199"/>
      <c r="AJ19" s="1179" t="str">
        <f>$AJ$7</f>
        <v>Change from 2022</v>
      </c>
      <c r="AK19" s="1199"/>
      <c r="AL19" s="1179" t="str">
        <f>$AL$7</f>
        <v>Change from 2005</v>
      </c>
      <c r="AM19" s="1199"/>
      <c r="AN19" s="1179" t="str">
        <f>$AN$7</f>
        <v>Change from 1990</v>
      </c>
      <c r="AO19" s="1264"/>
      <c r="AP19" s="228"/>
      <c r="AQ19" s="1170"/>
      <c r="AR19" s="1179" t="str">
        <f>$AR$7</f>
        <v>2030 compared to 2005</v>
      </c>
      <c r="AS19" s="1199"/>
      <c r="AT19" s="1179" t="str">
        <f>$AT$7</f>
        <v>2055 compared to 1990</v>
      </c>
      <c r="AU19" s="1199"/>
      <c r="AV19" s="1179" t="str">
        <f>$AR$7</f>
        <v>2030 compared to 2005</v>
      </c>
      <c r="AW19" s="1199"/>
    </row>
    <row r="20" spans="1:55" ht="17.399999999999999" thickBot="1" x14ac:dyDescent="0.45">
      <c r="B20" s="1038" t="s">
        <v>48</v>
      </c>
      <c r="D20" s="236" t="s">
        <v>48</v>
      </c>
      <c r="E20" s="1171"/>
      <c r="F20" s="465" t="s">
        <v>401</v>
      </c>
      <c r="G20" s="466" t="s">
        <v>4</v>
      </c>
      <c r="H20" s="465" t="str">
        <f>$F$8</f>
        <v>Þús. tonn CO₂-íg.</v>
      </c>
      <c r="I20" s="466" t="s">
        <v>4</v>
      </c>
      <c r="J20" s="465" t="str">
        <f>$F$8</f>
        <v>Þús. tonn CO₂-íg.</v>
      </c>
      <c r="K20" s="466" t="s">
        <v>4</v>
      </c>
      <c r="L20" s="465" t="str">
        <f>$F$8</f>
        <v>Þús. tonn CO₂-íg.</v>
      </c>
      <c r="M20" s="465" t="s">
        <v>4</v>
      </c>
      <c r="N20" s="228"/>
      <c r="O20" s="1171"/>
      <c r="P20" s="465" t="str">
        <f>$F$8</f>
        <v>Þús. tonn CO₂-íg.</v>
      </c>
      <c r="Q20" s="466" t="s">
        <v>4</v>
      </c>
      <c r="R20" s="465" t="str">
        <f>$F$8</f>
        <v>Þús. tonn CO₂-íg.</v>
      </c>
      <c r="S20" s="465" t="s">
        <v>4</v>
      </c>
      <c r="AG20" s="1171"/>
      <c r="AH20" s="465" t="str">
        <f>$AH$8</f>
        <v>Thousand tons CO₂e</v>
      </c>
      <c r="AI20" s="466" t="s">
        <v>4</v>
      </c>
      <c r="AJ20" s="465" t="str">
        <f>$AH$8</f>
        <v>Thousand tons CO₂e</v>
      </c>
      <c r="AK20" s="466" t="s">
        <v>4</v>
      </c>
      <c r="AL20" s="465" t="str">
        <f>$F$8</f>
        <v>Þús. tonn CO₂-íg.</v>
      </c>
      <c r="AM20" s="466" t="s">
        <v>4</v>
      </c>
      <c r="AN20" s="465" t="str">
        <f>$AH$8</f>
        <v>Thousand tons CO₂e</v>
      </c>
      <c r="AO20" s="465" t="s">
        <v>4</v>
      </c>
      <c r="AP20" s="228"/>
      <c r="AQ20" s="1171"/>
      <c r="AR20" s="465" t="str">
        <f>$AH$8</f>
        <v>Thousand tons CO₂e</v>
      </c>
      <c r="AS20" s="466" t="s">
        <v>4</v>
      </c>
      <c r="AT20" s="465" t="str">
        <f>$AH$8</f>
        <v>Thousand tons CO₂e</v>
      </c>
      <c r="AU20" s="466" t="s">
        <v>4</v>
      </c>
      <c r="AV20" s="465" t="str">
        <f>$AH$8</f>
        <v>Thousand tons CO₂e</v>
      </c>
      <c r="AW20" s="465" t="s">
        <v>4</v>
      </c>
      <c r="AX20" s="8"/>
      <c r="AY20" s="8"/>
      <c r="AZ20" s="8"/>
      <c r="BA20" s="8"/>
      <c r="BB20" s="8"/>
      <c r="BC20" s="8"/>
    </row>
    <row r="21" spans="1:55" s="40" customFormat="1" ht="21" customHeight="1" thickTop="1" x14ac:dyDescent="0.4">
      <c r="A21" s="4" t="s">
        <v>42</v>
      </c>
      <c r="B21" s="4" t="s">
        <v>266</v>
      </c>
      <c r="C21" s="4" t="s">
        <v>273</v>
      </c>
      <c r="D21" s="245" t="s">
        <v>48</v>
      </c>
      <c r="E21" s="716" t="s">
        <v>3</v>
      </c>
      <c r="F21" s="540" cm="1">
        <f t="array" ref="F21">INDEX('Talnagögn | Numerical Data'!$1:$1048576,_xlfn.XMATCH($A21,'Talnagögn | Numerical Data'!$A:$A),_xlfn.XMATCH($A$1,'Talnagögn | Numerical Data'!$1:$1))</f>
        <v>1858.8672934650326</v>
      </c>
      <c r="G21" s="717">
        <f>$F21/$F$25</f>
        <v>0.38942534546193874</v>
      </c>
      <c r="H21" s="540" cm="1">
        <f t="array" ref="H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Data'!$A:$A),_xlfn.XMATCH($B$3,'Talnagögn | Numerical Data'!$1:$1))</f>
        <v>84.315435981465725</v>
      </c>
      <c r="I21" s="718" cm="1">
        <f t="array" ref="I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Data'!$A:$A),_xlfn.XMATCH($B$3,'Talnagögn | Numerical Data'!$1:$1))-1</f>
        <v>4.7513650066575375E-2</v>
      </c>
      <c r="J21" s="540" cm="1">
        <f t="array" ref="J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Data'!$A:$A),_xlfn.XMATCH($B$2,'Talnagögn | Numerical Data'!$1:$1))</f>
        <v>-299.65975339180341</v>
      </c>
      <c r="K21" s="717" cm="1">
        <f t="array" ref="K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Data'!$A:$A),_xlfn.XMATCH($B$2,'Talnagögn | Numerical Data'!$1:$1))-1</f>
        <v>-0.13882603594342557</v>
      </c>
      <c r="L21" s="540" cm="1">
        <f t="array" ref="L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Data'!$A:$A),_xlfn.XMATCH($B$1,'Talnagögn | Numerical Data'!$1:$1))</f>
        <v>18.308869483047374</v>
      </c>
      <c r="M21" s="753" cm="1">
        <f t="array" ref="M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Data'!$A:$A),_xlfn.XMATCH($B$1,'Talnagögn | Numerical Data'!$1:$1))-1</f>
        <v>9.9474535795700536E-3</v>
      </c>
      <c r="N21" s="228"/>
      <c r="O21" s="716" t="s">
        <v>3</v>
      </c>
      <c r="P21" s="540" cm="1">
        <f t="array" ref="P21">INDEX('Talnagögn | Numerical Data'!$1:$1048576,_xlfn.XMATCH($B21,'Talnagögn | Numerical Data'!$B:$B),_xlfn.XMATCH($B$4,'Talnagögn | Numerical Data'!$1:$1))-INDEX('Talnagögn | Numerical Data'!$1:$1048576,_xlfn.XMATCH($A21,'Talnagögn | Numerical Data'!$A:$A),_xlfn.XMATCH($B$2,'Talnagögn | Numerical Data'!$1:$1))</f>
        <v>-602.66565498050227</v>
      </c>
      <c r="Q21" s="717" cm="1">
        <f t="array" ref="Q21">INDEX('Talnagögn | Numerical Data'!$1:$1048576,_xlfn.XMATCH($B21,'Talnagögn | Numerical Data'!$B:$B),_xlfn.XMATCH($B$4,'Talnagögn | Numerical Data'!$1:$1))/INDEX('Talnagögn | Numerical Data'!$1:$1048576,_xlfn.XMATCH($A21,'Talnagögn | Numerical Data'!$A:$A),_xlfn.XMATCH($B$2,'Talnagögn | Numerical Data'!$1:$1))-1</f>
        <v>-0.2792022716871122</v>
      </c>
      <c r="R21" s="540" cm="1">
        <f t="array" ref="R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Data'!$A:$A),_xlfn.XMATCH($B$1,'Talnagögn | Numerical Data'!$1:$1))</f>
        <v>-1574.4467026149255</v>
      </c>
      <c r="S21" s="542" cm="1">
        <f t="array" ref="S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Data'!$A:$A),_xlfn.XMATCH($B$1,'Talnagögn | Numerical Data'!$1:$1))-1</f>
        <v>-0.85541794386980874</v>
      </c>
      <c r="V21" s="397"/>
      <c r="W21" s="397"/>
      <c r="X21" s="397"/>
      <c r="Y21" s="397"/>
      <c r="Z21" s="397"/>
      <c r="AA21" s="397"/>
      <c r="AB21" s="397"/>
      <c r="AC21" s="397"/>
      <c r="AD21" s="760"/>
      <c r="AG21" s="716" t="str">
        <f>'Talnagögn | Numerical Data'!$E$5</f>
        <v>Energy</v>
      </c>
      <c r="AH21" s="540" cm="1">
        <f t="array" ref="AH21">INDEX('Talnagögn | Numerical Data'!$1:$1048576,_xlfn.XMATCH($A21,'Talnagögn | Numerical Data'!$A:$A),_xlfn.XMATCH($A$1,'Talnagögn | Numerical Data'!$1:$1))</f>
        <v>1858.8672934650326</v>
      </c>
      <c r="AI21" s="717">
        <f>$F21/$F$25</f>
        <v>0.38942534546193874</v>
      </c>
      <c r="AJ21" s="540" cm="1">
        <f t="array" ref="AJ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Data'!$A:$A),_xlfn.XMATCH($B$3,'Talnagögn | Numerical Data'!$1:$1))</f>
        <v>84.315435981465725</v>
      </c>
      <c r="AK21" s="718" cm="1">
        <f t="array" ref="AK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Data'!$A:$A),_xlfn.XMATCH($B$3,'Talnagögn | Numerical Data'!$1:$1))-1</f>
        <v>4.7513650066575375E-2</v>
      </c>
      <c r="AL21" s="540" cm="1">
        <f t="array" ref="AL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Data'!$A:$A),_xlfn.XMATCH($B$2,'Talnagögn | Numerical Data'!$1:$1))</f>
        <v>-299.65975339180341</v>
      </c>
      <c r="AM21" s="717" cm="1">
        <f t="array" ref="AM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Data'!$A:$A),_xlfn.XMATCH($B$2,'Talnagögn | Numerical Data'!$1:$1))-1</f>
        <v>-0.13882603594342557</v>
      </c>
      <c r="AN21" s="540" cm="1">
        <f t="array" ref="AN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Data'!$A:$A),_xlfn.XMATCH($B$1,'Talnagögn | Numerical Data'!$1:$1))</f>
        <v>18.308869483047374</v>
      </c>
      <c r="AO21" s="753" cm="1">
        <f t="array" ref="AO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Data'!$A:$A),_xlfn.XMATCH($B$1,'Talnagögn | Numerical Data'!$1:$1))-1</f>
        <v>9.9474535795700536E-3</v>
      </c>
      <c r="AP21" s="228"/>
      <c r="AQ21" s="716" t="str">
        <f>'Talnagögn | Numerical Data'!$E$5</f>
        <v>Energy</v>
      </c>
      <c r="AR21" s="540" cm="1">
        <f t="array" ref="AR21">INDEX('Talnagögn | Numerical Data'!$1:$1048576,_xlfn.XMATCH($B21,'Talnagögn | Numerical Data'!$B:$B),_xlfn.XMATCH($B$4,'Talnagögn | Numerical Data'!$1:$1))-INDEX('Talnagögn | Numerical Data'!$1:$1048576,_xlfn.XMATCH($A21,'Talnagögn | Numerical Data'!$A:$A),_xlfn.XMATCH($B$2,'Talnagögn | Numerical Data'!$1:$1))</f>
        <v>-602.66565498050227</v>
      </c>
      <c r="AS21" s="717" cm="1">
        <f t="array" ref="AS21">INDEX('Talnagögn | Numerical Data'!$1:$1048576,_xlfn.XMATCH($B21,'Talnagögn | Numerical Data'!$B:$B),_xlfn.XMATCH($B$4,'Talnagögn | Numerical Data'!$1:$1))/INDEX('Talnagögn | Numerical Data'!$1:$1048576,_xlfn.XMATCH($A21,'Talnagögn | Numerical Data'!$A:$A),_xlfn.XMATCH($B$2,'Talnagögn | Numerical Data'!$1:$1))-1</f>
        <v>-0.2792022716871122</v>
      </c>
      <c r="AT21" s="540" cm="1">
        <f t="array" ref="AT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Data'!$A:$A),_xlfn.XMATCH($B$1,'Talnagögn | Numerical Data'!$1:$1))</f>
        <v>-1574.4467026149255</v>
      </c>
      <c r="AU21" s="717" cm="1">
        <f t="array" ref="AU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Data'!$A:$A),_xlfn.XMATCH($B$1,'Talnagögn | Numerical Data'!$1:$1))-1</f>
        <v>-0.85541794386980874</v>
      </c>
      <c r="AV21" s="540" t="e" cm="1">
        <f t="array" ref="AV21">INDEX('Talnagögn | Numerical Data'!$1:$1048576,_xlfn.XMATCH($C21,'Talnagögn | Numerical Data'!$B:$B),_xlfn.XMATCH($B$4,'Talnagögn | Numerical Data'!$1:$1))-INDEX('Talnagögn | Numerical Data'!$1:$1048576,_xlfn.XMATCH($A21,'Talnagögn | Numerical Data'!$A:$A),_xlfn.XMATCH($B$2,'Talnagögn | Numerical Data'!$1:$1))</f>
        <v>#N/A</v>
      </c>
      <c r="AW21" s="1082" t="e" cm="1">
        <f t="array" ref="AW21">INDEX('Talnagögn | Numerical Data'!$1:$1048576,_xlfn.XMATCH($C21,'Talnagögn | Numerical Data'!$B:$B),_xlfn.XMATCH($B$4,'Talnagögn | Numerical Data'!$1:$1))/INDEX('Talnagögn | Numerical Data'!$1:$1048576,_xlfn.XMATCH($A21,'Talnagögn | Numerical Data'!$A:$A),_xlfn.XMATCH($B$2,'Talnagögn | Numerical Data'!$1:$1))-1</f>
        <v>#N/A</v>
      </c>
    </row>
    <row r="22" spans="1:55" ht="21" customHeight="1" x14ac:dyDescent="0.4">
      <c r="A22" s="4" t="s">
        <v>43</v>
      </c>
      <c r="B22" s="4" t="s">
        <v>267</v>
      </c>
      <c r="C22" s="4" t="s">
        <v>274</v>
      </c>
      <c r="D22" s="245" t="s">
        <v>48</v>
      </c>
      <c r="E22" s="716" t="s">
        <v>207</v>
      </c>
      <c r="F22" s="540" cm="1">
        <f t="array" ref="F22">INDEX('Talnagögn | Numerical Data'!$1:$1048576,_xlfn.XMATCH($A22,'Talnagögn | Numerical Data'!$A:$A),_xlfn.XMATCH($A$1,'Talnagögn | Numerical Data'!$1:$1))</f>
        <v>2006.593431936052</v>
      </c>
      <c r="G22" s="717">
        <f>$F22/$F$25</f>
        <v>0.42037338715920214</v>
      </c>
      <c r="H22" s="540" cm="1">
        <f t="array" ref="H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Data'!$A:$A),_xlfn.XMATCH($B$3,'Talnagögn | Numerical Data'!$1:$1))</f>
        <v>60.68956644342029</v>
      </c>
      <c r="I22" s="718" cm="1">
        <f t="array" ref="I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Data'!$A:$A),_xlfn.XMATCH($B$3,'Talnagögn | Numerical Data'!$1:$1))-1</f>
        <v>3.1188368305160807E-2</v>
      </c>
      <c r="J22" s="540" cm="1">
        <f t="array" ref="J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Data'!$A:$A),_xlfn.XMATCH($B$2,'Talnagögn | Numerical Data'!$1:$1))</f>
        <v>1056.7222403030805</v>
      </c>
      <c r="K22" s="717" cm="1">
        <f t="array" ref="K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Data'!$A:$A),_xlfn.XMATCH($B$2,'Talnagögn | Numerical Data'!$1:$1))-1</f>
        <v>1.1124900403458033</v>
      </c>
      <c r="L22" s="540" cm="1">
        <f t="array" ref="L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Data'!$A:$A),_xlfn.XMATCH($B$1,'Talnagögn | Numerical Data'!$1:$1))</f>
        <v>1105.0294082598223</v>
      </c>
      <c r="M22" s="737" cm="1">
        <f t="array" ref="M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Data'!$A:$A),_xlfn.XMATCH($B$1,'Talnagögn | Numerical Data'!$1:$1))-1</f>
        <v>1.225680461110171</v>
      </c>
      <c r="N22" s="228"/>
      <c r="O22" s="716" t="s">
        <v>207</v>
      </c>
      <c r="P22" s="540" cm="1">
        <f t="array" ref="P22">INDEX('Talnagögn | Numerical Data'!$1:$1048576,_xlfn.XMATCH($B22,'Talnagögn | Numerical Data'!$B:$B),_xlfn.XMATCH($B$4,'Talnagögn | Numerical Data'!$1:$1))-INDEX('Talnagögn | Numerical Data'!$1:$1048576,_xlfn.XMATCH($A22,'Talnagögn | Numerical Data'!$A:$A),_xlfn.XMATCH($B$2,'Talnagögn | Numerical Data'!$1:$1))</f>
        <v>1021.8019936802027</v>
      </c>
      <c r="Q22" s="717" cm="1">
        <f t="array" ref="Q22">INDEX('Talnagögn | Numerical Data'!$1:$1048576,_xlfn.XMATCH($B22,'Talnagögn | Numerical Data'!$B:$B),_xlfn.XMATCH($B$4,'Talnagögn | Numerical Data'!$1:$1))/INDEX('Talnagögn | Numerical Data'!$1:$1048576,_xlfn.XMATCH($A22,'Talnagögn | Numerical Data'!$A:$A),_xlfn.XMATCH($B$2,'Talnagögn | Numerical Data'!$1:$1))-1</f>
        <v>1.0757269013744604</v>
      </c>
      <c r="R22" s="540" cm="1">
        <f t="array" ref="R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Data'!$A:$A),_xlfn.XMATCH($B$1,'Talnagögn | Numerical Data'!$1:$1))</f>
        <v>1047.964108647358</v>
      </c>
      <c r="S22" s="542" cm="1">
        <f t="array" ref="S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Data'!$A:$A),_xlfn.XMATCH($B$1,'Talnagögn | Numerical Data'!$1:$1))-1</f>
        <v>1.1623845685125782</v>
      </c>
      <c r="T22" s="8"/>
      <c r="U22" s="8"/>
      <c r="AD22" s="760"/>
      <c r="AG22" s="716" t="str">
        <f>'Talnagögn | Numerical Data'!$E$6</f>
        <v>Industrial Processes and Product Use</v>
      </c>
      <c r="AH22" s="540" cm="1">
        <f t="array" ref="AH22">INDEX('Talnagögn | Numerical Data'!$1:$1048576,_xlfn.XMATCH($A22,'Talnagögn | Numerical Data'!$A:$A),_xlfn.XMATCH($A$1,'Talnagögn | Numerical Data'!$1:$1))</f>
        <v>2006.593431936052</v>
      </c>
      <c r="AI22" s="717">
        <f>$F22/$F$25</f>
        <v>0.42037338715920214</v>
      </c>
      <c r="AJ22" s="540" cm="1">
        <f t="array" ref="AJ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Data'!$A:$A),_xlfn.XMATCH($B$3,'Talnagögn | Numerical Data'!$1:$1))</f>
        <v>60.68956644342029</v>
      </c>
      <c r="AK22" s="718" cm="1">
        <f t="array" ref="AK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Data'!$A:$A),_xlfn.XMATCH($B$3,'Talnagögn | Numerical Data'!$1:$1))-1</f>
        <v>3.1188368305160807E-2</v>
      </c>
      <c r="AL22" s="540" cm="1">
        <f t="array" ref="AL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Data'!$A:$A),_xlfn.XMATCH($B$2,'Talnagögn | Numerical Data'!$1:$1))</f>
        <v>1056.7222403030805</v>
      </c>
      <c r="AM22" s="717" cm="1">
        <f t="array" ref="AM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Data'!$A:$A),_xlfn.XMATCH($B$2,'Talnagögn | Numerical Data'!$1:$1))-1</f>
        <v>1.1124900403458033</v>
      </c>
      <c r="AN22" s="540" cm="1">
        <f t="array" ref="AN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Data'!$A:$A),_xlfn.XMATCH($B$1,'Talnagögn | Numerical Data'!$1:$1))</f>
        <v>1105.0294082598223</v>
      </c>
      <c r="AO22" s="737" cm="1">
        <f t="array" ref="AO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Data'!$A:$A),_xlfn.XMATCH($B$1,'Talnagögn | Numerical Data'!$1:$1))-1</f>
        <v>1.225680461110171</v>
      </c>
      <c r="AP22" s="228"/>
      <c r="AQ22" s="716" t="str">
        <f>'Talnagögn | Numerical Data'!$E$6</f>
        <v>Industrial Processes and Product Use</v>
      </c>
      <c r="AR22" s="540" cm="1">
        <f t="array" ref="AR22">INDEX('Talnagögn | Numerical Data'!$1:$1048576,_xlfn.XMATCH($B22,'Talnagögn | Numerical Data'!$B:$B),_xlfn.XMATCH($B$4,'Talnagögn | Numerical Data'!$1:$1))-INDEX('Talnagögn | Numerical Data'!$1:$1048576,_xlfn.XMATCH($A22,'Talnagögn | Numerical Data'!$A:$A),_xlfn.XMATCH($B$2,'Talnagögn | Numerical Data'!$1:$1))</f>
        <v>1021.8019936802027</v>
      </c>
      <c r="AS22" s="717" cm="1">
        <f t="array" ref="AS22">INDEX('Talnagögn | Numerical Data'!$1:$1048576,_xlfn.XMATCH($B22,'Talnagögn | Numerical Data'!$B:$B),_xlfn.XMATCH($B$4,'Talnagögn | Numerical Data'!$1:$1))/INDEX('Talnagögn | Numerical Data'!$1:$1048576,_xlfn.XMATCH($A22,'Talnagögn | Numerical Data'!$A:$A),_xlfn.XMATCH($B$2,'Talnagögn | Numerical Data'!$1:$1))-1</f>
        <v>1.0757269013744604</v>
      </c>
      <c r="AT22" s="540" cm="1">
        <f t="array" ref="AT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Data'!$A:$A),_xlfn.XMATCH($B$1,'Talnagögn | Numerical Data'!$1:$1))</f>
        <v>1047.964108647358</v>
      </c>
      <c r="AU22" s="717" cm="1">
        <f t="array" ref="AU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Data'!$A:$A),_xlfn.XMATCH($B$1,'Talnagögn | Numerical Data'!$1:$1))-1</f>
        <v>1.1623845685125782</v>
      </c>
      <c r="AV22" s="781" t="e" cm="1">
        <f t="array" ref="AV22">INDEX('Talnagögn | Numerical Data'!$1:$1048576,_xlfn.XMATCH($C22,'Talnagögn | Numerical Data'!$B:$B),_xlfn.XMATCH($B$4,'Talnagögn | Numerical Data'!$1:$1))-INDEX('Talnagögn | Numerical Data'!$1:$1048576,_xlfn.XMATCH($A22,'Talnagögn | Numerical Data'!$A:$A),_xlfn.XMATCH($B$2,'Talnagögn | Numerical Data'!$1:$1))</f>
        <v>#N/A</v>
      </c>
      <c r="AW22" s="782" t="e" cm="1">
        <f t="array" ref="AW22">INDEX('Talnagögn | Numerical Data'!$1:$1048576,_xlfn.XMATCH($C22,'Talnagögn | Numerical Data'!$B:$B),_xlfn.XMATCH($B$4,'Talnagögn | Numerical Data'!$1:$1))/INDEX('Talnagögn | Numerical Data'!$1:$1048576,_xlfn.XMATCH($A22,'Talnagögn | Numerical Data'!$A:$A),_xlfn.XMATCH($B$2,'Talnagögn | Numerical Data'!$1:$1))-1</f>
        <v>#N/A</v>
      </c>
      <c r="AX22" s="8"/>
      <c r="AY22" s="8"/>
      <c r="AZ22" s="8"/>
      <c r="BA22" s="8"/>
      <c r="BB22" s="8"/>
      <c r="BC22" s="8"/>
    </row>
    <row r="23" spans="1:55" ht="21" customHeight="1" x14ac:dyDescent="0.4">
      <c r="A23" s="4" t="s">
        <v>44</v>
      </c>
      <c r="B23" s="4" t="s">
        <v>268</v>
      </c>
      <c r="C23" s="4" t="s">
        <v>275</v>
      </c>
      <c r="D23" s="245" t="s">
        <v>48</v>
      </c>
      <c r="E23" s="721" t="s">
        <v>2</v>
      </c>
      <c r="F23" s="540" cm="1">
        <f t="array" ref="F23">INDEX('Talnagögn | Numerical Data'!$1:$1048576,_xlfn.XMATCH($A23,'Talnagögn | Numerical Data'!$A:$A),_xlfn.XMATCH($A$1,'Talnagögn | Numerical Data'!$1:$1))</f>
        <v>669.59914464131464</v>
      </c>
      <c r="G23" s="717">
        <f>$F23/$F$25</f>
        <v>0.14027837228600301</v>
      </c>
      <c r="H23" s="546" cm="1">
        <f t="array" ref="H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Data'!$A:$A),_xlfn.XMATCH($B$3,'Talnagögn | Numerical Data'!$1:$1))</f>
        <v>-6.0262763072659027</v>
      </c>
      <c r="I23" s="724" cm="1">
        <f t="array" ref="I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Data'!$A:$A),_xlfn.XMATCH($B$3,'Talnagögn | Numerical Data'!$1:$1))-1</f>
        <v>-8.9195523442634483E-3</v>
      </c>
      <c r="J23" s="546" cm="1">
        <f t="array" ref="J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Data'!$A:$A),_xlfn.XMATCH($B$2,'Talnagögn | Numerical Data'!$1:$1))</f>
        <v>-6.7570985142256177</v>
      </c>
      <c r="K23" s="718" cm="1">
        <f t="array" ref="K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Data'!$A:$A),_xlfn.XMATCH($B$2,'Talnagögn | Numerical Data'!$1:$1))-1</f>
        <v>-9.9904430285145951E-3</v>
      </c>
      <c r="L23" s="540" cm="1">
        <f t="array" ref="L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Data'!$A:$A),_xlfn.XMATCH($B$1,'Talnagögn | Numerical Data'!$1:$1))</f>
        <v>-36.171730878748576</v>
      </c>
      <c r="M23" s="543" cm="1">
        <f t="array" ref="M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Data'!$A:$A),_xlfn.XMATCH($B$1,'Talnagögn | Numerical Data'!$1:$1))-1</f>
        <v>-5.1251379354658955E-2</v>
      </c>
      <c r="N23" s="228"/>
      <c r="O23" s="721" t="s">
        <v>2</v>
      </c>
      <c r="P23" s="546" cm="1">
        <f t="array" ref="P23">INDEX('Talnagögn | Numerical Data'!$1:$1048576,_xlfn.XMATCH($B23,'Talnagögn | Numerical Data'!$B:$B),_xlfn.XMATCH($B$4,'Talnagögn | Numerical Data'!$1:$1))-INDEX('Talnagögn | Numerical Data'!$1:$1048576,_xlfn.XMATCH($A23,'Talnagögn | Numerical Data'!$A:$A),_xlfn.XMATCH($B$2,'Talnagögn | Numerical Data'!$1:$1))</f>
        <v>-6.2097456645392413</v>
      </c>
      <c r="Q23" s="724" cm="1">
        <f t="array" ref="Q23">INDEX('Talnagögn | Numerical Data'!$1:$1048576,_xlfn.XMATCH($B23,'Talnagögn | Numerical Data'!$B:$B),_xlfn.XMATCH($B$4,'Talnagögn | Numerical Data'!$1:$1))/INDEX('Talnagögn | Numerical Data'!$1:$1048576,_xlfn.XMATCH($A23,'Talnagögn | Numerical Data'!$A:$A),_xlfn.XMATCH($B$2,'Talnagögn | Numerical Data'!$1:$1))-1</f>
        <v>-9.1811759370589163E-3</v>
      </c>
      <c r="R23" s="540" cm="1">
        <f t="array" ref="R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Data'!$A:$A),_xlfn.XMATCH($B$1,'Talnagögn | Numerical Data'!$1:$1))</f>
        <v>-71.788039626321506</v>
      </c>
      <c r="S23" s="542" cm="1">
        <f t="array" ref="S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Data'!$A:$A),_xlfn.XMATCH($B$1,'Talnagögn | Numerical Data'!$1:$1))-1</f>
        <v>-0.10171578640649181</v>
      </c>
      <c r="T23" s="8"/>
      <c r="U23" s="8"/>
      <c r="AD23" s="760"/>
      <c r="AG23" s="721" t="str">
        <f>'Talnagögn | Numerical Data'!$E$7</f>
        <v>Agriculture</v>
      </c>
      <c r="AH23" s="540" cm="1">
        <f t="array" ref="AH23">INDEX('Talnagögn | Numerical Data'!$1:$1048576,_xlfn.XMATCH($A23,'Talnagögn | Numerical Data'!$A:$A),_xlfn.XMATCH($A$1,'Talnagögn | Numerical Data'!$1:$1))</f>
        <v>669.59914464131464</v>
      </c>
      <c r="AI23" s="717">
        <f>$F23/$F$25</f>
        <v>0.14027837228600301</v>
      </c>
      <c r="AJ23" s="546" cm="1">
        <f t="array" ref="AJ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Data'!$A:$A),_xlfn.XMATCH($B$3,'Talnagögn | Numerical Data'!$1:$1))</f>
        <v>-6.0262763072659027</v>
      </c>
      <c r="AK23" s="724" cm="1">
        <f t="array" ref="AK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Data'!$A:$A),_xlfn.XMATCH($B$3,'Talnagögn | Numerical Data'!$1:$1))-1</f>
        <v>-8.9195523442634483E-3</v>
      </c>
      <c r="AL23" s="546" cm="1">
        <f t="array" ref="AL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Data'!$A:$A),_xlfn.XMATCH($B$2,'Talnagögn | Numerical Data'!$1:$1))</f>
        <v>-6.7570985142256177</v>
      </c>
      <c r="AM23" s="718" cm="1">
        <f t="array" ref="AM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Data'!$A:$A),_xlfn.XMATCH($B$2,'Talnagögn | Numerical Data'!$1:$1))-1</f>
        <v>-9.9904430285145951E-3</v>
      </c>
      <c r="AN23" s="540" cm="1">
        <f t="array" ref="AN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Data'!$A:$A),_xlfn.XMATCH($B$1,'Talnagögn | Numerical Data'!$1:$1))</f>
        <v>-36.171730878748576</v>
      </c>
      <c r="AO23" s="543" cm="1">
        <f t="array" ref="AO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Data'!$A:$A),_xlfn.XMATCH($B$1,'Talnagögn | Numerical Data'!$1:$1))-1</f>
        <v>-5.1251379354658955E-2</v>
      </c>
      <c r="AP23" s="228"/>
      <c r="AQ23" s="721" t="str">
        <f>'Talnagögn | Numerical Data'!$E$7</f>
        <v>Agriculture</v>
      </c>
      <c r="AR23" s="546" cm="1">
        <f t="array" ref="AR23">INDEX('Talnagögn | Numerical Data'!$1:$1048576,_xlfn.XMATCH($B23,'Talnagögn | Numerical Data'!$B:$B),_xlfn.XMATCH($B$4,'Talnagögn | Numerical Data'!$1:$1))-INDEX('Talnagögn | Numerical Data'!$1:$1048576,_xlfn.XMATCH($A23,'Talnagögn | Numerical Data'!$A:$A),_xlfn.XMATCH($B$2,'Talnagögn | Numerical Data'!$1:$1))</f>
        <v>-6.2097456645392413</v>
      </c>
      <c r="AS23" s="724" cm="1">
        <f t="array" ref="AS23">INDEX('Talnagögn | Numerical Data'!$1:$1048576,_xlfn.XMATCH($B23,'Talnagögn | Numerical Data'!$B:$B),_xlfn.XMATCH($B$4,'Talnagögn | Numerical Data'!$1:$1))/INDEX('Talnagögn | Numerical Data'!$1:$1048576,_xlfn.XMATCH($A23,'Talnagögn | Numerical Data'!$A:$A),_xlfn.XMATCH($B$2,'Talnagögn | Numerical Data'!$1:$1))-1</f>
        <v>-9.1811759370589163E-3</v>
      </c>
      <c r="AT23" s="540" cm="1">
        <f t="array" ref="AT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Data'!$A:$A),_xlfn.XMATCH($B$1,'Talnagögn | Numerical Data'!$1:$1))</f>
        <v>-71.788039626321506</v>
      </c>
      <c r="AU23" s="717" cm="1">
        <f t="array" ref="AU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Data'!$A:$A),_xlfn.XMATCH($B$1,'Talnagögn | Numerical Data'!$1:$1))-1</f>
        <v>-0.10171578640649181</v>
      </c>
      <c r="AV23" s="540" t="e" cm="1">
        <f t="array" ref="AV23">INDEX('Talnagögn | Numerical Data'!$1:$1048576,_xlfn.XMATCH($C23,'Talnagögn | Numerical Data'!$B:$B),_xlfn.XMATCH($B$4,'Talnagögn | Numerical Data'!$1:$1))-INDEX('Talnagögn | Numerical Data'!$1:$1048576,_xlfn.XMATCH($A23,'Talnagögn | Numerical Data'!$A:$A),_xlfn.XMATCH($B$2,'Talnagögn | Numerical Data'!$1:$1))</f>
        <v>#N/A</v>
      </c>
      <c r="AW23" s="543" t="e" cm="1">
        <f t="array" ref="AW23">INDEX('Talnagögn | Numerical Data'!$1:$1048576,_xlfn.XMATCH($C23,'Talnagögn | Numerical Data'!$B:$B),_xlfn.XMATCH($B$4,'Talnagögn | Numerical Data'!$1:$1))/INDEX('Talnagögn | Numerical Data'!$1:$1048576,_xlfn.XMATCH($A23,'Talnagögn | Numerical Data'!$A:$A),_xlfn.XMATCH($B$2,'Talnagögn | Numerical Data'!$1:$1))-1</f>
        <v>#N/A</v>
      </c>
      <c r="AX23" s="8"/>
      <c r="AY23" s="8"/>
      <c r="AZ23" s="8"/>
      <c r="BA23" s="8"/>
      <c r="BB23" s="8"/>
      <c r="BC23" s="8"/>
    </row>
    <row r="24" spans="1:55" ht="21" customHeight="1" x14ac:dyDescent="0.4">
      <c r="A24" s="4" t="s">
        <v>46</v>
      </c>
      <c r="B24" s="4" t="s">
        <v>270</v>
      </c>
      <c r="C24" s="4" t="s">
        <v>277</v>
      </c>
      <c r="D24" s="245" t="s">
        <v>48</v>
      </c>
      <c r="E24" s="725" t="s">
        <v>1</v>
      </c>
      <c r="F24" s="726" cm="1">
        <f t="array" ref="F24">INDEX('Talnagögn | Numerical Data'!$1:$1048576,_xlfn.XMATCH($A24,'Talnagögn | Numerical Data'!$A:$A),_xlfn.XMATCH($A$1,'Talnagögn | Numerical Data'!$1:$1))</f>
        <v>238.29994109170406</v>
      </c>
      <c r="G24" s="727">
        <f>$F24/$F$25</f>
        <v>4.992289509285628E-2</v>
      </c>
      <c r="H24" s="1009" cm="1">
        <f t="array" ref="H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Data'!$A:$A),_xlfn.XMATCH($B$3,'Talnagögn | Numerical Data'!$1:$1))</f>
        <v>-9.2089246649518657</v>
      </c>
      <c r="I24" s="727" cm="1">
        <f t="array" ref="I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Data'!$A:$A),_xlfn.XMATCH($B$3,'Talnagögn | Numerical Data'!$1:$1))-1</f>
        <v>-3.7206443643137299E-2</v>
      </c>
      <c r="J24" s="726" cm="1">
        <f t="array" ref="J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Data'!$A:$A),_xlfn.XMATCH($B$2,'Talnagögn | Numerical Data'!$1:$1))</f>
        <v>-71.155145258225446</v>
      </c>
      <c r="K24" s="728" cm="1">
        <f t="array" ref="K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Data'!$A:$A),_xlfn.XMATCH($B$2,'Talnagögn | Numerical Data'!$1:$1))-1</f>
        <v>-0.22993690650721355</v>
      </c>
      <c r="L24" s="726" cm="1">
        <f t="array" ref="L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Data'!$A:$A),_xlfn.XMATCH($B$1,'Talnagögn | Numerical Data'!$1:$1))</f>
        <v>30.818805742526479</v>
      </c>
      <c r="M24" s="729" cm="1">
        <f t="array" ref="M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Data'!$A:$A),_xlfn.XMATCH($B$1,'Talnagögn | Numerical Data'!$1:$1))-1</f>
        <v>0.14853786919307321</v>
      </c>
      <c r="N24" s="228"/>
      <c r="O24" s="725" t="s">
        <v>1</v>
      </c>
      <c r="P24" s="726" cm="1">
        <f t="array" ref="P24">INDEX('Talnagögn | Numerical Data'!$1:$1048576,_xlfn.XMATCH($B24,'Talnagögn | Numerical Data'!$B:$B),_xlfn.XMATCH($B$4,'Talnagögn | Numerical Data'!$1:$1))-INDEX('Talnagögn | Numerical Data'!$1:$1048576,_xlfn.XMATCH($A24,'Talnagögn | Numerical Data'!$A:$A),_xlfn.XMATCH($B$2,'Talnagögn | Numerical Data'!$1:$1))</f>
        <v>-152.43221888630947</v>
      </c>
      <c r="Q24" s="728" cm="1">
        <f t="array" ref="Q24">INDEX('Talnagögn | Numerical Data'!$1:$1048576,_xlfn.XMATCH($B24,'Talnagögn | Numerical Data'!$B:$B),_xlfn.XMATCH($B$4,'Talnagögn | Numerical Data'!$1:$1))/INDEX('Talnagögn | Numerical Data'!$1:$1048576,_xlfn.XMATCH($A24,'Talnagögn | Numerical Data'!$A:$A),_xlfn.XMATCH($B$2,'Talnagögn | Numerical Data'!$1:$1))-1</f>
        <v>-0.49258269005777544</v>
      </c>
      <c r="R24" s="726" cm="1">
        <f t="array" ref="R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Data'!$A:$A),_xlfn.XMATCH($B$1,'Talnagögn | Numerical Data'!$1:$1))</f>
        <v>-136.88652171680832</v>
      </c>
      <c r="S24" s="729" cm="1">
        <f t="array" ref="S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Data'!$A:$A),_xlfn.XMATCH($B$1,'Talnagögn | Numerical Data'!$1:$1))-1</f>
        <v>-0.65975406143038984</v>
      </c>
      <c r="T24" s="8"/>
      <c r="U24" s="8"/>
      <c r="AD24" s="760"/>
      <c r="AG24" s="725" t="str">
        <f>'Talnagögn | Numerical Data'!$E$9</f>
        <v>Waste</v>
      </c>
      <c r="AH24" s="726" cm="1">
        <f t="array" ref="AH24">INDEX('Talnagögn | Numerical Data'!$1:$1048576,_xlfn.XMATCH($A24,'Talnagögn | Numerical Data'!$A:$A),_xlfn.XMATCH($A$1,'Talnagögn | Numerical Data'!$1:$1))</f>
        <v>238.29994109170406</v>
      </c>
      <c r="AI24" s="727">
        <f>$F24/$F$25</f>
        <v>4.992289509285628E-2</v>
      </c>
      <c r="AJ24" s="1009" cm="1">
        <f t="array" ref="AJ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Data'!$A:$A),_xlfn.XMATCH($B$3,'Talnagögn | Numerical Data'!$1:$1))</f>
        <v>-9.2089246649518657</v>
      </c>
      <c r="AK24" s="727" cm="1">
        <f t="array" ref="AK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Data'!$A:$A),_xlfn.XMATCH($B$3,'Talnagögn | Numerical Data'!$1:$1))-1</f>
        <v>-3.7206443643137299E-2</v>
      </c>
      <c r="AL24" s="726" cm="1">
        <f t="array" ref="AL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Data'!$A:$A),_xlfn.XMATCH($B$2,'Talnagögn | Numerical Data'!$1:$1))</f>
        <v>-71.155145258225446</v>
      </c>
      <c r="AM24" s="728" cm="1">
        <f t="array" ref="AM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Data'!$A:$A),_xlfn.XMATCH($B$2,'Talnagögn | Numerical Data'!$1:$1))-1</f>
        <v>-0.22993690650721355</v>
      </c>
      <c r="AN24" s="726" cm="1">
        <f t="array" ref="AN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Data'!$A:$A),_xlfn.XMATCH($B$1,'Talnagögn | Numerical Data'!$1:$1))</f>
        <v>30.818805742526479</v>
      </c>
      <c r="AO24" s="729" cm="1">
        <f t="array" ref="AO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Data'!$A:$A),_xlfn.XMATCH($B$1,'Talnagögn | Numerical Data'!$1:$1))-1</f>
        <v>0.14853786919307321</v>
      </c>
      <c r="AP24" s="228"/>
      <c r="AQ24" s="725" t="str">
        <f>'Talnagögn | Numerical Data'!$E$9</f>
        <v>Waste</v>
      </c>
      <c r="AR24" s="726" cm="1">
        <f t="array" ref="AR24">INDEX('Talnagögn | Numerical Data'!$1:$1048576,_xlfn.XMATCH($B24,'Talnagögn | Numerical Data'!$B:$B),_xlfn.XMATCH($B$4,'Talnagögn | Numerical Data'!$1:$1))-INDEX('Talnagögn | Numerical Data'!$1:$1048576,_xlfn.XMATCH($A24,'Talnagögn | Numerical Data'!$A:$A),_xlfn.XMATCH($B$2,'Talnagögn | Numerical Data'!$1:$1))</f>
        <v>-152.43221888630947</v>
      </c>
      <c r="AS24" s="728" cm="1">
        <f t="array" ref="AS24">INDEX('Talnagögn | Numerical Data'!$1:$1048576,_xlfn.XMATCH($B24,'Talnagögn | Numerical Data'!$B:$B),_xlfn.XMATCH($B$4,'Talnagögn | Numerical Data'!$1:$1))/INDEX('Talnagögn | Numerical Data'!$1:$1048576,_xlfn.XMATCH($A24,'Talnagögn | Numerical Data'!$A:$A),_xlfn.XMATCH($B$2,'Talnagögn | Numerical Data'!$1:$1))-1</f>
        <v>-0.49258269005777544</v>
      </c>
      <c r="AT24" s="726" cm="1">
        <f t="array" ref="AT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Data'!$A:$A),_xlfn.XMATCH($B$1,'Talnagögn | Numerical Data'!$1:$1))</f>
        <v>-136.88652171680832</v>
      </c>
      <c r="AU24" s="728" cm="1">
        <f t="array" ref="AU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Data'!$A:$A),_xlfn.XMATCH($B$1,'Talnagögn | Numerical Data'!$1:$1))-1</f>
        <v>-0.65975406143038984</v>
      </c>
      <c r="AV24" s="726" t="e" cm="1">
        <f t="array" ref="AV24">INDEX('Talnagögn | Numerical Data'!$1:$1048576,_xlfn.XMATCH($C24,'Talnagögn | Numerical Data'!$B:$B),_xlfn.XMATCH($B$4,'Talnagögn | Numerical Data'!$1:$1))-INDEX('Talnagögn | Numerical Data'!$1:$1048576,_xlfn.XMATCH($A24,'Talnagögn | Numerical Data'!$A:$A),_xlfn.XMATCH($B$2,'Talnagögn | Numerical Data'!$1:$1))</f>
        <v>#N/A</v>
      </c>
      <c r="AW24" s="729" t="e" cm="1">
        <f t="array" ref="AW24">INDEX('Talnagögn | Numerical Data'!$1:$1048576,_xlfn.XMATCH($C24,'Talnagögn | Numerical Data'!$B:$B),_xlfn.XMATCH($B$4,'Talnagögn | Numerical Data'!$1:$1))/INDEX('Talnagögn | Numerical Data'!$1:$1048576,_xlfn.XMATCH($A24,'Talnagögn | Numerical Data'!$A:$A),_xlfn.XMATCH($B$2,'Talnagögn | Numerical Data'!$1:$1))-1</f>
        <v>#N/A</v>
      </c>
      <c r="AX24" s="8"/>
      <c r="AY24" s="8"/>
      <c r="AZ24" s="8"/>
      <c r="BA24" s="8"/>
      <c r="BB24" s="8"/>
      <c r="BC24" s="8"/>
    </row>
    <row r="25" spans="1:55" ht="21" customHeight="1" x14ac:dyDescent="0.4">
      <c r="A25" s="4" t="s">
        <v>49</v>
      </c>
      <c r="B25" s="4" t="s">
        <v>272</v>
      </c>
      <c r="C25" s="4" t="s">
        <v>279</v>
      </c>
      <c r="D25" s="245" t="s">
        <v>48</v>
      </c>
      <c r="E25" s="730" t="s">
        <v>210</v>
      </c>
      <c r="F25" s="731" cm="1">
        <f t="array" ref="F25">INDEX('Talnagögn | Numerical Data'!$1:$1048576,_xlfn.XMATCH($A25,'Talnagögn | Numerical Data'!$A:$A),_xlfn.XMATCH($A$1,'Talnagögn | Numerical Data'!$1:$1))</f>
        <v>4773.3598111341025</v>
      </c>
      <c r="G25" s="732">
        <f>$F25/$F$25</f>
        <v>1</v>
      </c>
      <c r="H25" s="731" cm="1">
        <f t="array" ref="H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Data'!$A:$A),_xlfn.XMATCH($B$3,'Talnagögn | Numerical Data'!$1:$1))</f>
        <v>129.76980145266771</v>
      </c>
      <c r="I25" s="733" cm="1">
        <f t="array" ref="I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Data'!$A:$A),_xlfn.XMATCH($B$3,'Talnagögn | Numerical Data'!$1:$1))-1</f>
        <v>2.7946007546340246E-2</v>
      </c>
      <c r="J25" s="731" cm="1">
        <f t="array" ref="J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Data'!$A:$A),_xlfn.XMATCH($B$2,'Talnagögn | Numerical Data'!$1:$1))</f>
        <v>679.15024313882577</v>
      </c>
      <c r="K25" s="736" cm="1">
        <f t="array" ref="K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Data'!$A:$A),_xlfn.XMATCH($B$2,'Talnagögn | Numerical Data'!$1:$1))-1</f>
        <v>0.16588067412273921</v>
      </c>
      <c r="L25" s="731" cm="1">
        <f t="array" ref="L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Data'!$A:$A),_xlfn.XMATCH($B$1,'Talnagögn | Numerical Data'!$1:$1))</f>
        <v>1117.9853526066468</v>
      </c>
      <c r="M25" s="738" cm="1">
        <f t="array" ref="M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Data'!$A:$A),_xlfn.XMATCH($B$1,'Talnagögn | Numerical Data'!$1:$1))-1</f>
        <v>0.30584701110403345</v>
      </c>
      <c r="N25" s="228"/>
      <c r="O25" s="730" t="s">
        <v>210</v>
      </c>
      <c r="P25" s="731" cm="1">
        <f t="array" ref="P25">INDEX('Talnagögn | Numerical Data'!$1:$1048576,_xlfn.XMATCH($B25,'Talnagögn | Numerical Data'!$B:$B),_xlfn.XMATCH($B$4,'Talnagögn | Numerical Data'!$1:$1))-INDEX('Talnagögn | Numerical Data'!$1:$1048576,_xlfn.XMATCH($A25,'Talnagögn | Numerical Data'!$A:$A),_xlfn.XMATCH($B$2,'Talnagögn | Numerical Data'!$1:$1))</f>
        <v>260.49437414885278</v>
      </c>
      <c r="Q25" s="733" cm="1">
        <f t="array" ref="Q25">INDEX('Talnagögn | Numerical Data'!$1:$1048576,_xlfn.XMATCH($B25,'Talnagögn | Numerical Data'!$B:$B),_xlfn.XMATCH($B$4,'Talnagögn | Numerical Data'!$1:$1))/INDEX('Talnagögn | Numerical Data'!$1:$1048576,_xlfn.XMATCH($A25,'Talnagögn | Numerical Data'!$A:$A),_xlfn.XMATCH($B$2,'Talnagögn | Numerical Data'!$1:$1))-1</f>
        <v>6.3625070925815708E-2</v>
      </c>
      <c r="R25" s="731" cm="1">
        <f t="array" ref="R25">INDEX('Talnagögn | Numerical Data'!$1:$1048576,_xlfn.XMATCH($B25,'Talnagögn | Numerical Data'!$B:$B),_xlfn.XMATCH($B$5,'Talnagögn | Numerical Data'!$1:$1))-INDEX('Talnagögn | Numerical Data'!$1:$1048576,_xlfn.XMATCH($A25,'Talnagögn | Numerical Data'!$A:$A),_xlfn.XMATCH($B$1,'Talnagögn | Numerical Data'!$1:$1))</f>
        <v>-735.15715531069782</v>
      </c>
      <c r="S25" s="1126" cm="1">
        <f t="array" ref="S25">INDEX('Talnagögn | Numerical Data'!$1:$1048576,_xlfn.XMATCH($B25,'Talnagögn | Numerical Data'!$B:$B),_xlfn.XMATCH($B$5,'Talnagögn | Numerical Data'!$1:$1))/INDEX('Talnagögn | Numerical Data'!$1:$1048576,_xlfn.XMATCH($A25,'Talnagögn | Numerical Data'!$A:$A),_xlfn.XMATCH($B$1,'Talnagögn | Numerical Data'!$1:$1))-1</f>
        <v>-0.20111678397152533</v>
      </c>
      <c r="T25" s="8"/>
      <c r="U25" s="8"/>
      <c r="AG25" s="730" t="s">
        <v>178</v>
      </c>
      <c r="AH25" s="731" cm="1">
        <f t="array" ref="AH25">INDEX('Talnagögn | Numerical Data'!$1:$1048576,_xlfn.XMATCH($A25,'Talnagögn | Numerical Data'!$A:$A),_xlfn.XMATCH($A$1,'Talnagögn | Numerical Data'!$1:$1))</f>
        <v>4773.3598111341025</v>
      </c>
      <c r="AI25" s="732">
        <f>$F25/$F$25</f>
        <v>1</v>
      </c>
      <c r="AJ25" s="731" cm="1">
        <f t="array" ref="AJ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Data'!$A:$A),_xlfn.XMATCH($B$3,'Talnagögn | Numerical Data'!$1:$1))</f>
        <v>129.76980145266771</v>
      </c>
      <c r="AK25" s="733" cm="1">
        <f t="array" ref="AK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Data'!$A:$A),_xlfn.XMATCH($B$3,'Talnagögn | Numerical Data'!$1:$1))-1</f>
        <v>2.7946007546340246E-2</v>
      </c>
      <c r="AL25" s="731" cm="1">
        <f t="array" ref="AL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Data'!$A:$A),_xlfn.XMATCH($B$2,'Talnagögn | Numerical Data'!$1:$1))</f>
        <v>679.15024313882577</v>
      </c>
      <c r="AM25" s="736" cm="1">
        <f t="array" ref="AM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Data'!$A:$A),_xlfn.XMATCH($B$2,'Talnagögn | Numerical Data'!$1:$1))-1</f>
        <v>0.16588067412273921</v>
      </c>
      <c r="AN25" s="731" cm="1">
        <f t="array" ref="AN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Data'!$A:$A),_xlfn.XMATCH($B$1,'Talnagögn | Numerical Data'!$1:$1))</f>
        <v>1117.9853526066468</v>
      </c>
      <c r="AO25" s="738" cm="1">
        <f t="array" ref="AO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Data'!$A:$A),_xlfn.XMATCH($B$1,'Talnagögn | Numerical Data'!$1:$1))-1</f>
        <v>0.30584701110403345</v>
      </c>
      <c r="AP25" s="228"/>
      <c r="AQ25" s="730" t="s">
        <v>178</v>
      </c>
      <c r="AR25" s="731" cm="1">
        <f t="array" ref="AR25">INDEX('Talnagögn | Numerical Data'!$1:$1048576,_xlfn.XMATCH($B25,'Talnagögn | Numerical Data'!$B:$B),_xlfn.XMATCH($B$4,'Talnagögn | Numerical Data'!$1:$1))-INDEX('Talnagögn | Numerical Data'!$1:$1048576,_xlfn.XMATCH($A25,'Talnagögn | Numerical Data'!$A:$A),_xlfn.XMATCH($B$2,'Talnagögn | Numerical Data'!$1:$1))</f>
        <v>260.49437414885278</v>
      </c>
      <c r="AS25" s="733" cm="1">
        <f t="array" ref="AS25">INDEX('Talnagögn | Numerical Data'!$1:$1048576,_xlfn.XMATCH($B25,'Talnagögn | Numerical Data'!$B:$B),_xlfn.XMATCH($B$4,'Talnagögn | Numerical Data'!$1:$1))/INDEX('Talnagögn | Numerical Data'!$1:$1048576,_xlfn.XMATCH($A25,'Talnagögn | Numerical Data'!$A:$A),_xlfn.XMATCH($B$2,'Talnagögn | Numerical Data'!$1:$1))-1</f>
        <v>6.3625070925815708E-2</v>
      </c>
      <c r="AT25" s="731" cm="1">
        <f t="array" ref="AT25">INDEX('Talnagögn | Numerical Data'!$1:$1048576,_xlfn.XMATCH($B25,'Talnagögn | Numerical Data'!$B:$B),_xlfn.XMATCH($B$5,'Talnagögn | Numerical Data'!$1:$1))-INDEX('Talnagögn | Numerical Data'!$1:$1048576,_xlfn.XMATCH($A25,'Talnagögn | Numerical Data'!$A:$A),_xlfn.XMATCH($B$1,'Talnagögn | Numerical Data'!$1:$1))</f>
        <v>-735.15715531069782</v>
      </c>
      <c r="AU25" s="732" cm="1">
        <f t="array" ref="AU25">INDEX('Talnagögn | Numerical Data'!$1:$1048576,_xlfn.XMATCH($B25,'Talnagögn | Numerical Data'!$B:$B),_xlfn.XMATCH($B$5,'Talnagögn | Numerical Data'!$1:$1))/INDEX('Talnagögn | Numerical Data'!$1:$1048576,_xlfn.XMATCH($A25,'Talnagögn | Numerical Data'!$A:$A),_xlfn.XMATCH($B$1,'Talnagögn | Numerical Data'!$1:$1))-1</f>
        <v>-0.20111678397152533</v>
      </c>
      <c r="AV25" s="731" t="e" cm="1">
        <f t="array" ref="AV25">INDEX('Talnagögn | Numerical Data'!$1:$1048576,_xlfn.XMATCH($C25,'Talnagögn | Numerical Data'!$B:$B),_xlfn.XMATCH($B$4,'Talnagögn | Numerical Data'!$1:$1))-INDEX('Talnagögn | Numerical Data'!$1:$1048576,_xlfn.XMATCH($A25,'Talnagögn | Numerical Data'!$A:$A),_xlfn.XMATCH($B$2,'Talnagögn | Numerical Data'!$1:$1))</f>
        <v>#N/A</v>
      </c>
      <c r="AW25" s="752" t="e" cm="1">
        <f t="array" ref="AW25">INDEX('Talnagögn | Numerical Data'!$1:$1048576,_xlfn.XMATCH($C25,'Talnagögn | Numerical Data'!$B:$B),_xlfn.XMATCH($B$4,'Talnagögn | Numerical Data'!$1:$1))/INDEX('Talnagögn | Numerical Data'!$1:$1048576,_xlfn.XMATCH($A25,'Talnagögn | Numerical Data'!$A:$A),_xlfn.XMATCH($B$2,'Talnagögn | Numerical Data'!$1:$1))-1</f>
        <v>#N/A</v>
      </c>
      <c r="AX25" s="8"/>
      <c r="AY25" s="8"/>
      <c r="AZ25" s="8"/>
      <c r="BA25" s="8"/>
      <c r="BB25" s="8"/>
      <c r="BC25" s="8"/>
    </row>
    <row r="26" spans="1:55" s="40" customFormat="1" ht="13.5" customHeight="1" x14ac:dyDescent="0.4">
      <c r="A26" s="362"/>
      <c r="B26" s="1040"/>
      <c r="C26" s="1040"/>
      <c r="D26" s="245" t="s">
        <v>48</v>
      </c>
      <c r="E26" s="246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761"/>
      <c r="S26" s="747"/>
      <c r="T26" s="747"/>
      <c r="U26" s="747"/>
      <c r="V26" s="747"/>
      <c r="W26" s="747"/>
      <c r="X26" s="749"/>
      <c r="Y26" s="397"/>
      <c r="Z26" s="397"/>
      <c r="AA26" s="397"/>
      <c r="AB26" s="397"/>
      <c r="AC26" s="397"/>
      <c r="AD26" s="762"/>
      <c r="AH26" s="397"/>
      <c r="AI26" s="397"/>
      <c r="AJ26" s="397"/>
      <c r="AK26" s="397"/>
      <c r="AL26" s="397"/>
      <c r="AM26" s="397"/>
      <c r="AN26" s="397"/>
      <c r="AO26" s="397"/>
      <c r="AP26" s="397"/>
      <c r="AQ26" s="397"/>
      <c r="AR26" s="397"/>
      <c r="AS26" s="397"/>
      <c r="AT26" s="397"/>
      <c r="AU26" s="397"/>
      <c r="AV26" s="397"/>
      <c r="AW26" s="397"/>
    </row>
    <row r="27" spans="1:55" s="40" customFormat="1" ht="13.5" customHeight="1" x14ac:dyDescent="0.4">
      <c r="A27" s="1035" t="str">
        <f>"Losun Íslands "&amp;$A$1</f>
        <v>Losun Íslands 2024</v>
      </c>
      <c r="B27" s="1035" t="str">
        <f>"Iceland's Emissions in "&amp;$A$1</f>
        <v>Iceland's Emissions in 2024</v>
      </c>
      <c r="C27" s="1040" t="s">
        <v>48</v>
      </c>
      <c r="D27" s="245" t="s">
        <v>48</v>
      </c>
      <c r="E27" s="8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355"/>
      <c r="AH27" s="397"/>
      <c r="AI27" s="397"/>
      <c r="AJ27" s="397"/>
      <c r="AK27" s="397"/>
      <c r="AL27" s="397"/>
      <c r="AM27" s="397"/>
      <c r="AN27" s="397"/>
      <c r="AO27" s="397"/>
      <c r="AP27" s="397"/>
      <c r="AQ27" s="397"/>
      <c r="AR27" s="397"/>
      <c r="AS27" s="397"/>
      <c r="AT27" s="397"/>
      <c r="AU27" s="397"/>
      <c r="AV27" s="397"/>
      <c r="AW27" s="397"/>
      <c r="AX27" s="397"/>
      <c r="AY27" s="397"/>
      <c r="AZ27" s="397"/>
      <c r="BA27" s="397"/>
      <c r="BB27" s="397"/>
      <c r="BC27" s="397"/>
    </row>
    <row r="28" spans="1:55" ht="15" customHeight="1" x14ac:dyDescent="0.4">
      <c r="B28" s="1040"/>
      <c r="C28" s="1040"/>
      <c r="D28" s="245" t="s">
        <v>48</v>
      </c>
    </row>
    <row r="29" spans="1:55" ht="15" customHeight="1" x14ac:dyDescent="0.4">
      <c r="B29" s="1040"/>
      <c r="C29" s="1040"/>
      <c r="D29" s="245" t="s">
        <v>48</v>
      </c>
    </row>
    <row r="30" spans="1:55" ht="15" customHeight="1" x14ac:dyDescent="0.4">
      <c r="B30" s="1040"/>
      <c r="C30" s="1040"/>
      <c r="D30" s="245" t="s">
        <v>48</v>
      </c>
    </row>
    <row r="31" spans="1:55" x14ac:dyDescent="0.4">
      <c r="B31" s="1040"/>
      <c r="C31" s="1040"/>
      <c r="D31" s="245" t="s">
        <v>48</v>
      </c>
    </row>
    <row r="32" spans="1:55" x14ac:dyDescent="0.4">
      <c r="B32" s="1040"/>
      <c r="C32" s="1040"/>
      <c r="D32" s="245" t="s">
        <v>48</v>
      </c>
    </row>
    <row r="33" spans="2:4" x14ac:dyDescent="0.4">
      <c r="B33" s="1040"/>
      <c r="C33" s="1040"/>
      <c r="D33" s="245" t="s">
        <v>48</v>
      </c>
    </row>
    <row r="34" spans="2:4" x14ac:dyDescent="0.4">
      <c r="B34" s="1038" t="s">
        <v>48</v>
      </c>
      <c r="D34" s="245" t="s">
        <v>48</v>
      </c>
    </row>
    <row r="35" spans="2:4" ht="15" customHeight="1" x14ac:dyDescent="0.4">
      <c r="B35" s="1038" t="s">
        <v>48</v>
      </c>
      <c r="D35" s="245" t="s">
        <v>48</v>
      </c>
    </row>
    <row r="36" spans="2:4" ht="15" customHeight="1" x14ac:dyDescent="0.4">
      <c r="B36" s="1038" t="s">
        <v>48</v>
      </c>
      <c r="D36" s="245" t="s">
        <v>48</v>
      </c>
    </row>
    <row r="37" spans="2:4" ht="15" customHeight="1" x14ac:dyDescent="0.4">
      <c r="B37" s="1038" t="s">
        <v>48</v>
      </c>
      <c r="D37" s="245" t="s">
        <v>48</v>
      </c>
    </row>
    <row r="38" spans="2:4" x14ac:dyDescent="0.4">
      <c r="D38" s="245" t="s">
        <v>48</v>
      </c>
    </row>
    <row r="39" spans="2:4" x14ac:dyDescent="0.4">
      <c r="D39" s="245" t="s">
        <v>48</v>
      </c>
    </row>
    <row r="40" spans="2:4" x14ac:dyDescent="0.4">
      <c r="D40" s="245" t="s">
        <v>48</v>
      </c>
    </row>
    <row r="41" spans="2:4" x14ac:dyDescent="0.4">
      <c r="D41" s="245" t="s">
        <v>48</v>
      </c>
    </row>
    <row r="42" spans="2:4" x14ac:dyDescent="0.4">
      <c r="D42" s="245" t="s">
        <v>48</v>
      </c>
    </row>
    <row r="43" spans="2:4" x14ac:dyDescent="0.4">
      <c r="D43" s="245" t="s">
        <v>48</v>
      </c>
    </row>
    <row r="44" spans="2:4" x14ac:dyDescent="0.4">
      <c r="D44" s="245" t="s">
        <v>48</v>
      </c>
    </row>
    <row r="45" spans="2:4" x14ac:dyDescent="0.4">
      <c r="D45" s="245" t="s">
        <v>48</v>
      </c>
    </row>
    <row r="46" spans="2:4" x14ac:dyDescent="0.4">
      <c r="D46" s="245" t="s">
        <v>48</v>
      </c>
    </row>
    <row r="47" spans="2:4" x14ac:dyDescent="0.4">
      <c r="D47" s="245" t="s">
        <v>48</v>
      </c>
    </row>
    <row r="48" spans="2:4" x14ac:dyDescent="0.4">
      <c r="D48" s="245" t="s">
        <v>48</v>
      </c>
    </row>
    <row r="49" spans="1:55" x14ac:dyDescent="0.4">
      <c r="D49" s="245" t="s">
        <v>48</v>
      </c>
    </row>
    <row r="50" spans="1:55" s="744" customFormat="1" ht="27" customHeight="1" x14ac:dyDescent="0.4">
      <c r="A50" s="1041"/>
      <c r="B50" s="1041"/>
      <c r="C50" s="1041"/>
      <c r="E50" s="744" t="s">
        <v>34</v>
      </c>
      <c r="F50" s="745"/>
      <c r="G50" s="745"/>
      <c r="H50" s="745"/>
      <c r="I50" s="745"/>
      <c r="J50" s="745"/>
      <c r="K50" s="745"/>
      <c r="L50" s="745"/>
      <c r="M50" s="745"/>
      <c r="N50" s="745"/>
      <c r="O50" s="745"/>
      <c r="P50" s="745"/>
      <c r="Q50" s="745"/>
      <c r="R50" s="745"/>
      <c r="S50" s="745"/>
      <c r="T50" s="745"/>
      <c r="U50" s="745"/>
      <c r="V50" s="745"/>
      <c r="W50" s="745"/>
      <c r="X50" s="745"/>
      <c r="Y50" s="745"/>
      <c r="Z50" s="745"/>
      <c r="AA50" s="745"/>
      <c r="AB50" s="745"/>
      <c r="AC50" s="745"/>
      <c r="AD50" s="764"/>
      <c r="AG50" s="744" t="s">
        <v>168</v>
      </c>
      <c r="AH50" s="745"/>
      <c r="AI50" s="745"/>
      <c r="AJ50" s="745"/>
      <c r="AK50" s="745"/>
      <c r="AL50" s="745"/>
      <c r="AM50" s="745"/>
      <c r="AN50" s="745"/>
      <c r="AO50" s="745"/>
      <c r="AP50" s="745"/>
      <c r="AQ50" s="745"/>
      <c r="AR50" s="745"/>
      <c r="AS50" s="745"/>
      <c r="AT50" s="745"/>
      <c r="AU50" s="745"/>
      <c r="AV50" s="745"/>
      <c r="AW50" s="745"/>
      <c r="AX50" s="745"/>
      <c r="AY50" s="745"/>
      <c r="AZ50" s="745"/>
      <c r="BA50" s="745"/>
      <c r="BB50" s="745"/>
      <c r="BC50" s="745"/>
    </row>
    <row r="51" spans="1:55" x14ac:dyDescent="0.4">
      <c r="D51" s="245" t="s">
        <v>48</v>
      </c>
    </row>
    <row r="52" spans="1:55" x14ac:dyDescent="0.4">
      <c r="D52" s="245"/>
    </row>
    <row r="53" spans="1:55" ht="24.6" x14ac:dyDescent="0.4">
      <c r="D53" s="245" t="s">
        <v>48</v>
      </c>
      <c r="E53" s="247"/>
      <c r="AG53" s="248"/>
    </row>
    <row r="54" spans="1:55" x14ac:dyDescent="0.4">
      <c r="D54" s="245" t="s">
        <v>48</v>
      </c>
    </row>
    <row r="55" spans="1:55" x14ac:dyDescent="0.4">
      <c r="D55" s="245" t="s">
        <v>48</v>
      </c>
    </row>
    <row r="56" spans="1:55" x14ac:dyDescent="0.4">
      <c r="D56" s="245" t="s">
        <v>48</v>
      </c>
    </row>
    <row r="57" spans="1:55" x14ac:dyDescent="0.4">
      <c r="D57" s="245" t="s">
        <v>48</v>
      </c>
    </row>
    <row r="58" spans="1:55" x14ac:dyDescent="0.4">
      <c r="D58" s="245" t="s">
        <v>48</v>
      </c>
    </row>
    <row r="59" spans="1:55" ht="15" customHeight="1" x14ac:dyDescent="0.4">
      <c r="D59" s="245" t="s">
        <v>48</v>
      </c>
    </row>
    <row r="60" spans="1:55" ht="15" customHeight="1" x14ac:dyDescent="0.4">
      <c r="D60" s="245" t="s">
        <v>48</v>
      </c>
    </row>
    <row r="61" spans="1:55" ht="15" customHeight="1" x14ac:dyDescent="0.4">
      <c r="D61" s="245" t="s">
        <v>48</v>
      </c>
    </row>
    <row r="62" spans="1:55" x14ac:dyDescent="0.4">
      <c r="D62" s="245" t="s">
        <v>48</v>
      </c>
    </row>
    <row r="63" spans="1:55" x14ac:dyDescent="0.4">
      <c r="D63" s="245" t="s">
        <v>48</v>
      </c>
    </row>
    <row r="64" spans="1:55" x14ac:dyDescent="0.4">
      <c r="D64" s="245" t="s">
        <v>48</v>
      </c>
    </row>
    <row r="65" spans="4:4" x14ac:dyDescent="0.4">
      <c r="D65" s="245" t="s">
        <v>48</v>
      </c>
    </row>
    <row r="66" spans="4:4" x14ac:dyDescent="0.4">
      <c r="D66" s="245" t="s">
        <v>48</v>
      </c>
    </row>
    <row r="67" spans="4:4" x14ac:dyDescent="0.4">
      <c r="D67" s="245" t="s">
        <v>48</v>
      </c>
    </row>
    <row r="68" spans="4:4" x14ac:dyDescent="0.4">
      <c r="D68" s="245" t="s">
        <v>48</v>
      </c>
    </row>
    <row r="69" spans="4:4" x14ac:dyDescent="0.4">
      <c r="D69" s="245" t="s">
        <v>48</v>
      </c>
    </row>
    <row r="70" spans="4:4" x14ac:dyDescent="0.4">
      <c r="D70" s="245" t="s">
        <v>48</v>
      </c>
    </row>
    <row r="71" spans="4:4" x14ac:dyDescent="0.4">
      <c r="D71" s="245" t="s">
        <v>48</v>
      </c>
    </row>
    <row r="72" spans="4:4" x14ac:dyDescent="0.4">
      <c r="D72" s="245" t="s">
        <v>48</v>
      </c>
    </row>
    <row r="73" spans="4:4" x14ac:dyDescent="0.4">
      <c r="D73" s="245" t="s">
        <v>48</v>
      </c>
    </row>
    <row r="96" spans="1:55" s="744" customFormat="1" ht="27" customHeight="1" x14ac:dyDescent="0.4">
      <c r="A96" s="1041"/>
      <c r="B96" s="1041"/>
      <c r="C96" s="1041"/>
      <c r="E96" s="744" t="s">
        <v>455</v>
      </c>
      <c r="F96" s="745"/>
      <c r="G96" s="745"/>
      <c r="H96" s="745"/>
      <c r="I96" s="745"/>
      <c r="J96" s="745"/>
      <c r="K96" s="745"/>
      <c r="L96" s="745"/>
      <c r="M96" s="745"/>
      <c r="N96" s="745"/>
      <c r="O96" s="745"/>
      <c r="P96" s="745"/>
      <c r="Q96" s="745"/>
      <c r="R96" s="745"/>
      <c r="S96" s="745"/>
      <c r="T96" s="745"/>
      <c r="U96" s="745"/>
      <c r="V96" s="745"/>
      <c r="W96" s="745"/>
      <c r="X96" s="745"/>
      <c r="Y96" s="745"/>
      <c r="Z96" s="745"/>
      <c r="AA96" s="745"/>
      <c r="AB96" s="745"/>
      <c r="AC96" s="745"/>
      <c r="AD96" s="764"/>
      <c r="AG96" s="744" t="s">
        <v>452</v>
      </c>
      <c r="AH96" s="745"/>
      <c r="AI96" s="745"/>
      <c r="AJ96" s="745"/>
      <c r="AK96" s="745"/>
      <c r="AL96" s="745"/>
      <c r="AM96" s="745"/>
      <c r="AN96" s="745"/>
      <c r="AO96" s="745"/>
      <c r="AP96" s="745"/>
      <c r="AQ96" s="745"/>
      <c r="AR96" s="745"/>
      <c r="AS96" s="745"/>
      <c r="AT96" s="745"/>
      <c r="AU96" s="745"/>
      <c r="AV96" s="745"/>
      <c r="AW96" s="745"/>
      <c r="AX96" s="745"/>
      <c r="AY96" s="745"/>
      <c r="AZ96" s="745"/>
      <c r="BA96" s="745"/>
      <c r="BB96" s="745"/>
      <c r="BC96" s="745"/>
    </row>
    <row r="97" spans="4:4" x14ac:dyDescent="0.4">
      <c r="D97" s="245" t="s">
        <v>48</v>
      </c>
    </row>
    <row r="98" spans="4:4" x14ac:dyDescent="0.4">
      <c r="D98" s="245"/>
    </row>
    <row r="99" spans="4:4" x14ac:dyDescent="0.4">
      <c r="D99" s="245"/>
    </row>
    <row r="100" spans="4:4" x14ac:dyDescent="0.4">
      <c r="D100" s="245"/>
    </row>
    <row r="101" spans="4:4" x14ac:dyDescent="0.4">
      <c r="D101" s="245"/>
    </row>
    <row r="102" spans="4:4" x14ac:dyDescent="0.4">
      <c r="D102" s="245"/>
    </row>
    <row r="103" spans="4:4" x14ac:dyDescent="0.4">
      <c r="D103" s="245"/>
    </row>
    <row r="104" spans="4:4" x14ac:dyDescent="0.4">
      <c r="D104" s="245"/>
    </row>
    <row r="105" spans="4:4" x14ac:dyDescent="0.4">
      <c r="D105" s="245"/>
    </row>
    <row r="106" spans="4:4" x14ac:dyDescent="0.4">
      <c r="D106" s="245"/>
    </row>
    <row r="107" spans="4:4" x14ac:dyDescent="0.4">
      <c r="D107" s="245"/>
    </row>
    <row r="108" spans="4:4" x14ac:dyDescent="0.4">
      <c r="D108" s="245"/>
    </row>
    <row r="109" spans="4:4" x14ac:dyDescent="0.4">
      <c r="D109" s="245"/>
    </row>
    <row r="110" spans="4:4" x14ac:dyDescent="0.4">
      <c r="D110" s="245"/>
    </row>
    <row r="111" spans="4:4" x14ac:dyDescent="0.4">
      <c r="D111" s="245"/>
    </row>
    <row r="112" spans="4:4" x14ac:dyDescent="0.4">
      <c r="D112" s="245"/>
    </row>
    <row r="113" spans="4:41" x14ac:dyDescent="0.4">
      <c r="D113" s="245"/>
    </row>
    <row r="114" spans="4:41" x14ac:dyDescent="0.4">
      <c r="D114" s="245"/>
    </row>
    <row r="115" spans="4:41" x14ac:dyDescent="0.4">
      <c r="D115" s="245"/>
    </row>
    <row r="116" spans="4:41" x14ac:dyDescent="0.4">
      <c r="D116" s="245"/>
    </row>
    <row r="117" spans="4:41" x14ac:dyDescent="0.4">
      <c r="D117" s="245"/>
    </row>
    <row r="118" spans="4:41" x14ac:dyDescent="0.4">
      <c r="AO118" s="748"/>
    </row>
    <row r="140" spans="1:55" x14ac:dyDescent="0.4">
      <c r="D140" s="245"/>
    </row>
    <row r="141" spans="1:55" x14ac:dyDescent="0.4">
      <c r="D141" s="245"/>
    </row>
    <row r="142" spans="1:55" s="610" customFormat="1" ht="45.75" customHeight="1" x14ac:dyDescent="0.85">
      <c r="A142" s="1049"/>
      <c r="B142" s="1049"/>
      <c r="C142" s="1049"/>
      <c r="D142" s="740"/>
      <c r="E142" s="1069" t="s">
        <v>469</v>
      </c>
      <c r="F142" s="741"/>
      <c r="G142" s="741"/>
      <c r="H142" s="742"/>
      <c r="I142" s="741"/>
      <c r="J142" s="741"/>
      <c r="K142" s="741"/>
      <c r="L142" s="741"/>
      <c r="M142" s="741"/>
      <c r="N142" s="741"/>
      <c r="O142" s="741"/>
      <c r="P142" s="741"/>
      <c r="Q142" s="741"/>
      <c r="R142" s="741"/>
      <c r="S142" s="741"/>
      <c r="T142" s="741"/>
      <c r="U142" s="741"/>
      <c r="V142" s="741"/>
      <c r="W142" s="741"/>
      <c r="X142" s="741"/>
      <c r="Y142" s="741"/>
      <c r="Z142" s="741"/>
      <c r="AA142" s="741"/>
      <c r="AB142" s="741"/>
      <c r="AC142" s="741"/>
      <c r="AD142" s="765"/>
      <c r="AE142" s="740"/>
      <c r="AF142" s="740"/>
      <c r="AG142" s="610" t="s">
        <v>467</v>
      </c>
      <c r="AH142" s="705"/>
      <c r="AI142" s="705"/>
      <c r="AJ142" s="705"/>
      <c r="AK142" s="705"/>
      <c r="AL142" s="705"/>
      <c r="AM142" s="705"/>
      <c r="AN142" s="705"/>
      <c r="AO142" s="705"/>
      <c r="AP142" s="705"/>
      <c r="AQ142" s="705"/>
      <c r="AR142" s="705"/>
      <c r="AS142" s="705"/>
      <c r="AT142" s="705"/>
      <c r="AU142" s="705"/>
      <c r="AV142" s="705"/>
      <c r="AW142" s="705"/>
      <c r="AX142" s="705"/>
      <c r="AY142" s="705"/>
      <c r="AZ142" s="705"/>
      <c r="BA142" s="705"/>
      <c r="BB142" s="705"/>
      <c r="BC142" s="705"/>
    </row>
    <row r="143" spans="1:55" s="704" customFormat="1" ht="37.5" customHeight="1" x14ac:dyDescent="0.4">
      <c r="A143" s="1049"/>
      <c r="B143" s="1049"/>
      <c r="C143" s="1049"/>
      <c r="D143" s="702"/>
      <c r="E143" s="739" t="s">
        <v>466</v>
      </c>
      <c r="F143" s="706"/>
      <c r="G143" s="706"/>
      <c r="H143" s="709"/>
      <c r="I143" s="706"/>
      <c r="J143" s="706"/>
      <c r="K143" s="706"/>
      <c r="L143" s="706"/>
      <c r="M143" s="706"/>
      <c r="N143" s="706"/>
      <c r="O143" s="706"/>
      <c r="P143" s="706"/>
      <c r="Q143" s="706"/>
      <c r="R143" s="706"/>
      <c r="S143" s="706"/>
      <c r="T143" s="706"/>
      <c r="U143" s="706"/>
      <c r="V143" s="706"/>
      <c r="W143" s="706"/>
      <c r="X143" s="706"/>
      <c r="Y143" s="706"/>
      <c r="Z143" s="706"/>
      <c r="AA143" s="706"/>
      <c r="AB143" s="706"/>
      <c r="AC143" s="706"/>
      <c r="AD143" s="759"/>
      <c r="AE143" s="702"/>
      <c r="AF143" s="702"/>
      <c r="AG143" s="739" t="s">
        <v>468</v>
      </c>
      <c r="AH143" s="706"/>
      <c r="AI143" s="706"/>
      <c r="AJ143" s="706"/>
      <c r="AK143" s="706"/>
      <c r="AL143" s="706"/>
      <c r="AM143" s="706"/>
      <c r="AN143" s="706"/>
      <c r="AO143" s="706"/>
      <c r="AP143" s="706"/>
      <c r="AQ143" s="706"/>
      <c r="AR143" s="703"/>
      <c r="AS143" s="703"/>
      <c r="AT143" s="703"/>
      <c r="AU143" s="703"/>
      <c r="AV143" s="703"/>
      <c r="AW143" s="703"/>
      <c r="AX143" s="703"/>
      <c r="AY143" s="703"/>
      <c r="AZ143" s="703"/>
      <c r="BA143" s="703"/>
      <c r="BB143" s="703"/>
      <c r="BC143" s="703"/>
    </row>
    <row r="144" spans="1:55" s="40" customFormat="1" ht="13.5" customHeight="1" x14ac:dyDescent="0.4">
      <c r="A144" s="50"/>
      <c r="B144" s="1040"/>
      <c r="C144" s="1040"/>
      <c r="D144" s="245" t="s">
        <v>48</v>
      </c>
      <c r="E144" s="246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761"/>
      <c r="X144" s="747"/>
      <c r="Y144" s="747"/>
      <c r="Z144" s="747"/>
      <c r="AA144" s="747"/>
      <c r="AB144" s="747"/>
      <c r="AC144" s="747"/>
      <c r="AD144" s="766"/>
      <c r="AE144" s="233"/>
      <c r="AF144" s="233"/>
      <c r="AG144" s="233"/>
      <c r="AH144" s="747"/>
      <c r="AI144" s="747"/>
      <c r="AJ144" s="747"/>
      <c r="AK144" s="749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</row>
    <row r="145" spans="1:55" ht="48" customHeight="1" x14ac:dyDescent="0.4">
      <c r="B145" s="1040"/>
      <c r="C145" s="1040"/>
      <c r="D145" s="236"/>
      <c r="E145" s="1170" t="str">
        <f>"STAÐAN ÁRIÐ "&amp;$A$1</f>
        <v>STAÐAN ÁRIÐ 2024</v>
      </c>
      <c r="F145" s="757"/>
      <c r="G145" s="756"/>
      <c r="H145" s="756"/>
      <c r="I145" s="756"/>
      <c r="J145" s="756"/>
      <c r="K145" s="756"/>
      <c r="L145" s="756"/>
      <c r="M145" s="756"/>
      <c r="O145" s="1170" t="s">
        <v>403</v>
      </c>
      <c r="P145" s="1261" t="s">
        <v>416</v>
      </c>
      <c r="Q145" s="1262"/>
      <c r="R145" s="1262"/>
      <c r="S145" s="1262"/>
      <c r="T145" s="783"/>
      <c r="U145" s="783"/>
      <c r="V145" s="783"/>
      <c r="W145" s="783"/>
      <c r="X145" s="783"/>
      <c r="Y145" s="783"/>
      <c r="Z145" s="783"/>
      <c r="AA145" s="783"/>
      <c r="AB145" s="783"/>
      <c r="AC145" s="783"/>
      <c r="AD145" s="357"/>
      <c r="AG145" s="1170" t="str">
        <f>$AG$6</f>
        <v>2024 EMISSIONS</v>
      </c>
      <c r="AH145" s="754"/>
      <c r="AI145" s="755"/>
      <c r="AJ145" s="755"/>
      <c r="AK145" s="755"/>
      <c r="AL145" s="755"/>
      <c r="AM145" s="755"/>
      <c r="AN145" s="756"/>
      <c r="AO145" s="755"/>
      <c r="AP145" s="228"/>
      <c r="AQ145" s="1170" t="str">
        <f>$AQ$6</f>
        <v>OUTLOOKS</v>
      </c>
      <c r="AR145" s="1261" t="str">
        <f>$AR$6</f>
        <v>Estimated change in emissions based on
With Existing Measures scenario</v>
      </c>
      <c r="AS145" s="1262"/>
      <c r="AT145" s="1262"/>
      <c r="AU145" s="1262"/>
      <c r="AV145" s="1263" t="str">
        <f>$AV$6</f>
        <v>Estimated change in emissions based on
With Addiotional Measures scenario</v>
      </c>
      <c r="AW145" s="1262"/>
      <c r="AX145" s="1268"/>
      <c r="AY145" s="1268"/>
      <c r="AZ145" s="1268"/>
      <c r="BA145" s="1268"/>
      <c r="BB145" s="1268"/>
      <c r="BC145" s="1268"/>
    </row>
    <row r="146" spans="1:55" s="40" customFormat="1" ht="17.399999999999999" x14ac:dyDescent="0.4">
      <c r="A146" s="50"/>
      <c r="B146" s="1040"/>
      <c r="C146" s="1040"/>
      <c r="D146" s="245" t="s">
        <v>48</v>
      </c>
      <c r="E146" s="1170"/>
      <c r="F146" s="1198" t="str">
        <f>"Losun "&amp;$A$1</f>
        <v>Losun 2024</v>
      </c>
      <c r="G146" s="1199"/>
      <c r="H146" s="1179" t="str">
        <f>"Breyting frá "&amp;$B$3</f>
        <v>Breyting frá 2023</v>
      </c>
      <c r="I146" s="1199"/>
      <c r="J146" s="1179" t="str">
        <f>"Breyting frá "&amp;$B$2</f>
        <v>Breyting frá 2005</v>
      </c>
      <c r="K146" s="1199"/>
      <c r="L146" s="1179" t="str">
        <f>"Breyting frá "&amp;$B$1</f>
        <v>Breyting frá 1990</v>
      </c>
      <c r="M146" s="1264"/>
      <c r="N146" s="240"/>
      <c r="O146" s="1170"/>
      <c r="P146" s="1179" t="s">
        <v>417</v>
      </c>
      <c r="Q146" s="1199"/>
      <c r="R146" s="1179" t="s">
        <v>418</v>
      </c>
      <c r="S146" s="1199"/>
      <c r="T146" s="784"/>
      <c r="U146" s="784"/>
      <c r="V146" s="784"/>
      <c r="W146" s="784"/>
      <c r="X146" s="784"/>
      <c r="Y146" s="784"/>
      <c r="Z146" s="784"/>
      <c r="AA146" s="784"/>
      <c r="AB146" s="784"/>
      <c r="AC146" s="784"/>
      <c r="AD146" s="767"/>
      <c r="AG146" s="1170"/>
      <c r="AH146" s="1198" t="str">
        <f>$AH$7</f>
        <v>Emissions in 2023</v>
      </c>
      <c r="AI146" s="1199"/>
      <c r="AJ146" s="1179" t="str">
        <f>$AJ$7</f>
        <v>Change from 2022</v>
      </c>
      <c r="AK146" s="1199"/>
      <c r="AL146" s="1179" t="str">
        <f>$AL$7</f>
        <v>Change from 2005</v>
      </c>
      <c r="AM146" s="1199"/>
      <c r="AN146" s="1179" t="str">
        <f>$AN$7</f>
        <v>Change from 1990</v>
      </c>
      <c r="AO146" s="1264"/>
      <c r="AP146" s="228"/>
      <c r="AQ146" s="1170"/>
      <c r="AR146" s="1179" t="str">
        <f>$AR$7</f>
        <v>2030 compared to 2005</v>
      </c>
      <c r="AS146" s="1199"/>
      <c r="AT146" s="1179" t="str">
        <f>$AT$7</f>
        <v>2055 compared to 1990</v>
      </c>
      <c r="AU146" s="1199"/>
      <c r="AV146" s="1179" t="str">
        <f>$AR$7</f>
        <v>2030 compared to 2005</v>
      </c>
      <c r="AW146" s="1199"/>
      <c r="AX146" s="1269"/>
      <c r="AY146" s="1269"/>
      <c r="AZ146" s="1269"/>
      <c r="BA146" s="1269"/>
      <c r="BB146" s="1269"/>
      <c r="BC146" s="1269"/>
    </row>
    <row r="147" spans="1:55" s="240" customFormat="1" ht="17.399999999999999" thickBot="1" x14ac:dyDescent="0.45">
      <c r="A147" s="50"/>
      <c r="B147" s="1040"/>
      <c r="C147" s="1040"/>
      <c r="D147" s="356" t="s">
        <v>48</v>
      </c>
      <c r="E147" s="1171"/>
      <c r="F147" s="465" t="s">
        <v>401</v>
      </c>
      <c r="G147" s="466" t="s">
        <v>4</v>
      </c>
      <c r="H147" s="465" t="str">
        <f>$F$8</f>
        <v>Þús. tonn CO₂-íg.</v>
      </c>
      <c r="I147" s="466" t="s">
        <v>4</v>
      </c>
      <c r="J147" s="465" t="str">
        <f>$F$8</f>
        <v>Þús. tonn CO₂-íg.</v>
      </c>
      <c r="K147" s="466" t="s">
        <v>4</v>
      </c>
      <c r="L147" s="465" t="str">
        <f>$F$8</f>
        <v>Þús. tonn CO₂-íg.</v>
      </c>
      <c r="M147" s="465" t="s">
        <v>4</v>
      </c>
      <c r="O147" s="1171"/>
      <c r="P147" s="465" t="str">
        <f>$F$8</f>
        <v>Þús. tonn CO₂-íg.</v>
      </c>
      <c r="Q147" s="466" t="s">
        <v>4</v>
      </c>
      <c r="R147" s="465" t="str">
        <f>$F$8</f>
        <v>Þús. tonn CO₂-íg.</v>
      </c>
      <c r="S147" s="465" t="s">
        <v>4</v>
      </c>
      <c r="T147" s="785"/>
      <c r="U147" s="785"/>
      <c r="V147" s="786"/>
      <c r="W147" s="1267"/>
      <c r="X147" s="1267"/>
      <c r="Y147" s="786"/>
      <c r="Z147" s="786"/>
      <c r="AA147" s="786"/>
      <c r="AB147" s="786"/>
      <c r="AC147" s="786"/>
      <c r="AD147" s="357"/>
      <c r="AG147" s="1171"/>
      <c r="AH147" s="465" t="str">
        <f>$AH$8</f>
        <v>Thousand tons CO₂e</v>
      </c>
      <c r="AI147" s="466" t="s">
        <v>4</v>
      </c>
      <c r="AJ147" s="465" t="str">
        <f>$AH$8</f>
        <v>Thousand tons CO₂e</v>
      </c>
      <c r="AK147" s="466" t="s">
        <v>4</v>
      </c>
      <c r="AL147" s="465" t="str">
        <f>$F$8</f>
        <v>Þús. tonn CO₂-íg.</v>
      </c>
      <c r="AM147" s="466" t="s">
        <v>4</v>
      </c>
      <c r="AN147" s="465" t="str">
        <f>$AH$8</f>
        <v>Thousand tons CO₂e</v>
      </c>
      <c r="AO147" s="465" t="s">
        <v>4</v>
      </c>
      <c r="AP147" s="228"/>
      <c r="AQ147" s="1171"/>
      <c r="AR147" s="465" t="str">
        <f>$AH$8</f>
        <v>Thousand tons CO₂e</v>
      </c>
      <c r="AS147" s="466" t="s">
        <v>4</v>
      </c>
      <c r="AT147" s="465" t="str">
        <f>$AH$8</f>
        <v>Thousand tons CO₂e</v>
      </c>
      <c r="AU147" s="466" t="s">
        <v>4</v>
      </c>
      <c r="AV147" s="465" t="str">
        <f>$AH$8</f>
        <v>Thousand tons CO₂e</v>
      </c>
      <c r="AW147" s="465" t="s">
        <v>4</v>
      </c>
      <c r="AX147" s="1267"/>
      <c r="AY147" s="1267"/>
      <c r="AZ147" s="786"/>
      <c r="BA147" s="1267"/>
      <c r="BB147" s="1267"/>
      <c r="BC147" s="786"/>
    </row>
    <row r="148" spans="1:55" s="40" customFormat="1" ht="21" customHeight="1" thickTop="1" x14ac:dyDescent="0.4">
      <c r="A148" s="50" t="s">
        <v>58</v>
      </c>
      <c r="B148" s="50" t="s">
        <v>283</v>
      </c>
      <c r="C148" s="1038" t="s">
        <v>289</v>
      </c>
      <c r="D148" s="245" t="s">
        <v>48</v>
      </c>
      <c r="E148" s="721" t="str">
        <f>'Talnagögn | Numerical Data'!$D$28</f>
        <v>Álframleiðsla</v>
      </c>
      <c r="F148" s="540" cm="1">
        <f t="array" ref="F148">INDEX('Talnagögn | Numerical Data'!$1:$1048576, _xlfn.XMATCH($A148,'Talnagögn | Numerical Data'!$A:$A), _xlfn.XMATCH($A$1,'Talnagögn | Numerical Data'!$1:$1))</f>
        <v>1360.4102725798757</v>
      </c>
      <c r="G148" s="717">
        <f t="shared" ref="G148:G156" si="0">F148/$F$156</f>
        <v>0.28500057117141059</v>
      </c>
      <c r="H148" s="540" cm="1">
        <f t="array" ref="H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_xlfn.XMATCH($B$3,'Talnagögn | Numerical Data'!$1:$1))</f>
        <v>-42.239369088812055</v>
      </c>
      <c r="I148" s="718" cm="1">
        <f t="array" ref="I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_xlfn.XMATCH($B$3,'Talnagögn | Numerical Data'!$1:$1))-1</f>
        <v>-3.0113984158268603E-2</v>
      </c>
      <c r="J148" s="540" cm="1">
        <f t="array" ref="J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_xlfn.XMATCH($B$2,'Talnagögn | Numerical Data'!$1:$1))</f>
        <v>915.60175641278852</v>
      </c>
      <c r="K148" s="717" cm="1">
        <f t="array" ref="K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_xlfn.XMATCH($B$2,'Talnagögn | Numerical Data'!$1:$1))-1</f>
        <v>2.0584177755914488</v>
      </c>
      <c r="L148" s="540" cm="1">
        <f t="array" ref="L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_xlfn.XMATCH($B$1,'Talnagögn | Numerical Data'!$1:$1))</f>
        <v>776.38379980906973</v>
      </c>
      <c r="M148" s="542" cm="1">
        <f t="array" ref="M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_xlfn.XMATCH($B$1,'Talnagögn | Numerical Data'!$1:$1))-1</f>
        <v>1.3293640545533147</v>
      </c>
      <c r="O148" s="721" t="str">
        <f>'Talnagögn | Numerical Data'!$D$28</f>
        <v>Álframleiðsla</v>
      </c>
      <c r="P148" s="540" cm="1">
        <f t="array" ref="P148">INDEX('Talnagögn | Numerical Data'!$1:$1048576,_xlfn.XMATCH($B148,'Talnagögn | Numerical Data'!$B:$B),_xlfn.XMATCH($B$4,'Talnagögn | Numerical Data'!$1:$1))-INDEX('Talnagögn | Numerical Data'!$1:$1048576,_xlfn.XMATCH($A148,'Talnagögn | Numerical Data'!$A:$A),_xlfn.XMATCH($B$2,'Talnagögn | Numerical Data'!$1:$1))</f>
        <v>982.37182082370032</v>
      </c>
      <c r="Q148" s="717" cm="1">
        <f t="array" ref="Q148">INDEX('Talnagögn | Numerical Data'!$1:$1048576,_xlfn.XMATCH($B148,'Talnagögn | Numerical Data'!$B:$B),_xlfn.XMATCH($B$4,'Talnagögn | Numerical Data'!$1:$1))/INDEX('Talnagögn | Numerical Data'!$1:$1048576,_xlfn.XMATCH($A148,'Talnagögn | Numerical Data'!$A:$A),_xlfn.XMATCH($B$2,'Talnagögn | Numerical Data'!$1:$1))-1</f>
        <v>2.2085274564632749</v>
      </c>
      <c r="R148" s="540" cm="1">
        <f t="array" ref="R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Data'!$A:$A),_xlfn.XMATCH($B$1,'Talnagögn | Numerical Data'!$1:$1))</f>
        <v>848.06472280738205</v>
      </c>
      <c r="S148" s="542" cm="1">
        <f t="array" ref="S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Data'!$A:$A),_xlfn.XMATCH($B$1,'Talnagögn | Numerical Data'!$1:$1))-1</f>
        <v>1.452099797435372</v>
      </c>
      <c r="U148" s="788"/>
      <c r="X148" s="788"/>
      <c r="AD148" s="760"/>
      <c r="AG148" s="721" t="str">
        <f>'Talnagögn | Numerical Data'!$E$28</f>
        <v>Aluminium Production</v>
      </c>
      <c r="AH148" s="540" cm="1">
        <f t="array" ref="AH148">INDEX('Talnagögn | Numerical Data'!$1:$1048576, _xlfn.XMATCH($A148,'Talnagögn | Numerical Data'!$A:$A), _xlfn.XMATCH($A$1,'Talnagögn | Numerical Data'!$1:$1))</f>
        <v>1360.4102725798757</v>
      </c>
      <c r="AI148" s="717">
        <f t="shared" ref="AI148:AI156" si="1">AH148/$F$156</f>
        <v>0.28500057117141059</v>
      </c>
      <c r="AJ148" s="540" cm="1">
        <f t="array" ref="AJ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_xlfn.XMATCH($B$3,'Talnagögn | Numerical Data'!$1:$1))</f>
        <v>-42.239369088812055</v>
      </c>
      <c r="AK148" s="718" cm="1">
        <f t="array" ref="AK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_xlfn.XMATCH($B$3,'Talnagögn | Numerical Data'!$1:$1))-1</f>
        <v>-3.0113984158268603E-2</v>
      </c>
      <c r="AL148" s="540" cm="1">
        <f t="array" ref="AL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_xlfn.XMATCH($B$2,'Talnagögn | Numerical Data'!$1:$1))</f>
        <v>915.60175641278852</v>
      </c>
      <c r="AM148" s="717" cm="1">
        <f t="array" ref="AM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_xlfn.XMATCH($B$2,'Talnagögn | Numerical Data'!$1:$1))-1</f>
        <v>2.0584177755914488</v>
      </c>
      <c r="AN148" s="540" cm="1">
        <f t="array" ref="AN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_xlfn.XMATCH($B$1,'Talnagögn | Numerical Data'!$1:$1))</f>
        <v>776.38379980906973</v>
      </c>
      <c r="AO148" s="542" cm="1">
        <f t="array" ref="AO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_xlfn.XMATCH($B$1,'Talnagögn | Numerical Data'!$1:$1))-1</f>
        <v>1.3293640545533147</v>
      </c>
      <c r="AQ148" s="721" t="str">
        <f>'Talnagögn | Numerical Data'!$E$28</f>
        <v>Aluminium Production</v>
      </c>
      <c r="AR148" s="540" cm="1">
        <f t="array" ref="AR148">INDEX('Talnagögn | Numerical Data'!$1:$1048576,_xlfn.XMATCH($B148,'Talnagögn | Numerical Data'!$B:$B),_xlfn.XMATCH($B$4,'Talnagögn | Numerical Data'!$1:$1))-INDEX('Talnagögn | Numerical Data'!$1:$1048576,_xlfn.XMATCH($A148,'Talnagögn | Numerical Data'!$A:$A),_xlfn.XMATCH($B$2,'Talnagögn | Numerical Data'!$1:$1))</f>
        <v>982.37182082370032</v>
      </c>
      <c r="AS148" s="717" cm="1">
        <f t="array" ref="AS148">INDEX('Talnagögn | Numerical Data'!$1:$1048576,_xlfn.XMATCH($B148,'Talnagögn | Numerical Data'!$B:$B),_xlfn.XMATCH($B$4,'Talnagögn | Numerical Data'!$1:$1))/INDEX('Talnagögn | Numerical Data'!$1:$1048576,_xlfn.XMATCH($A148,'Talnagögn | Numerical Data'!$A:$A),_xlfn.XMATCH($B$2,'Talnagögn | Numerical Data'!$1:$1))-1</f>
        <v>2.2085274564632749</v>
      </c>
      <c r="AT148" s="540" cm="1">
        <f t="array" ref="AT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Data'!$A:$A),_xlfn.XMATCH($B$1,'Talnagögn | Numerical Data'!$1:$1))</f>
        <v>848.06472280738205</v>
      </c>
      <c r="AU148" s="717" cm="1">
        <f t="array" ref="AU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Data'!$A:$A),_xlfn.XMATCH($B$1,'Talnagögn | Numerical Data'!$1:$1))-1</f>
        <v>1.452099797435372</v>
      </c>
      <c r="AV148" s="540" t="e" cm="1">
        <f t="array" ref="AV148">INDEX('Talnagögn | Numerical Data'!$1:$1048576,_xlfn.XMATCH($C148,'Talnagögn | Numerical Data'!$B:$B),_xlfn.XMATCH($B$4,'Talnagögn | Numerical Data'!$1:$1))-INDEX('Talnagögn | Numerical Data'!$1:$1048576,_xlfn.XMATCH($A148,'Talnagögn | Numerical Data'!$A:$A),_xlfn.XMATCH($B$2,'Talnagögn | Numerical Data'!$1:$1))</f>
        <v>#N/A</v>
      </c>
      <c r="AW148" s="542" t="e" cm="1">
        <f t="array" ref="AW148">INDEX('Talnagögn | Numerical Data'!$1:$1048576,_xlfn.XMATCH($C148,'Talnagögn | Numerical Data'!$B:$B),_xlfn.XMATCH($B$4,'Talnagögn | Numerical Data'!$1:$1))/INDEX('Talnagögn | Numerical Data'!$1:$1048576,_xlfn.XMATCH($A148,'Talnagögn | Numerical Data'!$A:$A),_xlfn.XMATCH($B$2,'Talnagögn | Numerical Data'!$1:$1))-1</f>
        <v>#N/A</v>
      </c>
      <c r="AX148" s="1275"/>
      <c r="AY148" s="1275"/>
      <c r="AZ148" s="364"/>
      <c r="BA148" s="1275"/>
      <c r="BB148" s="1275"/>
      <c r="BC148" s="364"/>
    </row>
    <row r="149" spans="1:55" s="40" customFormat="1" ht="21" customHeight="1" x14ac:dyDescent="0.4">
      <c r="A149" s="50" t="s">
        <v>51</v>
      </c>
      <c r="B149" s="50" t="s">
        <v>281</v>
      </c>
      <c r="C149" s="1038" t="s">
        <v>287</v>
      </c>
      <c r="D149" s="245" t="s">
        <v>48</v>
      </c>
      <c r="E149" s="721" t="str">
        <f>'Talnagögn | Numerical Data'!$D$26</f>
        <v>Vegasamgöngur</v>
      </c>
      <c r="F149" s="540" cm="1">
        <f t="array" ref="F149">INDEX('Talnagögn | Numerical Data'!$1:$1048576, _xlfn.XMATCH($A149,'Talnagögn | Numerical Data'!$A:$A), _xlfn.XMATCH($A$1,'Talnagögn | Numerical Data'!$1:$1))</f>
        <v>898.35428884904547</v>
      </c>
      <c r="G149" s="717">
        <f t="shared" si="0"/>
        <v>0.18820167018492692</v>
      </c>
      <c r="H149" s="540" cm="1">
        <f t="array" ref="H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_xlfn.XMATCH($B$3,'Talnagögn | Numerical Data'!$1:$1))</f>
        <v>-22.926836795488953</v>
      </c>
      <c r="I149" s="718" cm="1">
        <f t="array" ref="I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_xlfn.XMATCH($B$3,'Talnagögn | Numerical Data'!$1:$1))-1</f>
        <v>-2.4885820578869677E-2</v>
      </c>
      <c r="J149" s="540" cm="1">
        <f t="array" ref="J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_xlfn.XMATCH($B$2,'Talnagögn | Numerical Data'!$1:$1))</f>
        <v>123.36711209011344</v>
      </c>
      <c r="K149" s="717" cm="1">
        <f t="array" ref="K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_xlfn.XMATCH($B$2,'Talnagögn | Numerical Data'!$1:$1))-1</f>
        <v>0.1591860043491895</v>
      </c>
      <c r="L149" s="540" cm="1">
        <f t="array" ref="L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_xlfn.XMATCH($B$1,'Talnagögn | Numerical Data'!$1:$1))</f>
        <v>367.65336571275577</v>
      </c>
      <c r="M149" s="542" cm="1">
        <f t="array" ref="M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_xlfn.XMATCH($B$1,'Talnagögn | Numerical Data'!$1:$1))-1</f>
        <v>0.69276941057503771</v>
      </c>
      <c r="O149" s="721" t="str">
        <f>'Talnagögn | Numerical Data'!$D$26</f>
        <v>Vegasamgöngur</v>
      </c>
      <c r="P149" s="540" cm="1">
        <f t="array" ref="P149">INDEX('Talnagögn | Numerical Data'!$1:$1048576,_xlfn.XMATCH($B149,'Talnagögn | Numerical Data'!$B:$B),_xlfn.XMATCH($B$4,'Talnagögn | Numerical Data'!$1:$1))-INDEX('Talnagögn | Numerical Data'!$1:$1048576,_xlfn.XMATCH($A149,'Talnagögn | Numerical Data'!$A:$A),_xlfn.XMATCH($B$2,'Talnagögn | Numerical Data'!$1:$1))</f>
        <v>37.352288864814909</v>
      </c>
      <c r="Q149" s="718" cm="1">
        <f t="array" ref="Q149">INDEX('Talnagögn | Numerical Data'!$1:$1048576,_xlfn.XMATCH($B149,'Talnagögn | Numerical Data'!$B:$B),_xlfn.XMATCH($B$4,'Talnagögn | Numerical Data'!$1:$1))/INDEX('Talnagögn | Numerical Data'!$1:$1048576,_xlfn.XMATCH($A149,'Talnagögn | Numerical Data'!$A:$A),_xlfn.XMATCH($B$2,'Talnagögn | Numerical Data'!$1:$1))-1</f>
        <v>4.8197299239228331E-2</v>
      </c>
      <c r="R149" s="540" cm="1">
        <f t="array" ref="R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Data'!$A:$A),_xlfn.XMATCH($B$1,'Talnagögn | Numerical Data'!$1:$1))</f>
        <v>-520.82772316920898</v>
      </c>
      <c r="S149" s="542" cm="1">
        <f t="array" ref="S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Data'!$A:$A),_xlfn.XMATCH($B$1,'Talnagögn | Numerical Data'!$1:$1))-1</f>
        <v>-0.98139592464107106</v>
      </c>
      <c r="U149" s="787"/>
      <c r="X149" s="711"/>
      <c r="AD149" s="760"/>
      <c r="AG149" s="721" t="str">
        <f>'Talnagögn | Numerical Data'!$E$26</f>
        <v>Road Transport</v>
      </c>
      <c r="AH149" s="540" cm="1">
        <f t="array" ref="AH149">INDEX('Talnagögn | Numerical Data'!$1:$1048576, _xlfn.XMATCH($A149,'Talnagögn | Numerical Data'!$A:$A), _xlfn.XMATCH($A$1,'Talnagögn | Numerical Data'!$1:$1))</f>
        <v>898.35428884904547</v>
      </c>
      <c r="AI149" s="717">
        <f t="shared" si="1"/>
        <v>0.18820167018492692</v>
      </c>
      <c r="AJ149" s="540" cm="1">
        <f t="array" ref="AJ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_xlfn.XMATCH($B$3,'Talnagögn | Numerical Data'!$1:$1))</f>
        <v>-22.926836795488953</v>
      </c>
      <c r="AK149" s="724" cm="1">
        <f t="array" ref="AK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_xlfn.XMATCH($B$3,'Talnagögn | Numerical Data'!$1:$1))-1</f>
        <v>-2.4885820578869677E-2</v>
      </c>
      <c r="AL149" s="540" cm="1">
        <f t="array" ref="AL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_xlfn.XMATCH($B$2,'Talnagögn | Numerical Data'!$1:$1))</f>
        <v>123.36711209011344</v>
      </c>
      <c r="AM149" s="717" cm="1">
        <f t="array" ref="AM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_xlfn.XMATCH($B$2,'Talnagögn | Numerical Data'!$1:$1))-1</f>
        <v>0.1591860043491895</v>
      </c>
      <c r="AN149" s="540" cm="1">
        <f t="array" ref="AN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_xlfn.XMATCH($B$1,'Talnagögn | Numerical Data'!$1:$1))</f>
        <v>367.65336571275577</v>
      </c>
      <c r="AO149" s="542" cm="1">
        <f t="array" ref="AO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_xlfn.XMATCH($B$1,'Talnagögn | Numerical Data'!$1:$1))-1</f>
        <v>0.69276941057503771</v>
      </c>
      <c r="AQ149" s="721" t="str">
        <f>'Talnagögn | Numerical Data'!$E$26</f>
        <v>Road Transport</v>
      </c>
      <c r="AR149" s="540" cm="1">
        <f t="array" ref="AR149">INDEX('Talnagögn | Numerical Data'!$1:$1048576,_xlfn.XMATCH($B149,'Talnagögn | Numerical Data'!$B:$B),_xlfn.XMATCH($B$4,'Talnagögn | Numerical Data'!$1:$1))-INDEX('Talnagögn | Numerical Data'!$1:$1048576,_xlfn.XMATCH($A149,'Talnagögn | Numerical Data'!$A:$A),_xlfn.XMATCH($B$2,'Talnagögn | Numerical Data'!$1:$1))</f>
        <v>37.352288864814909</v>
      </c>
      <c r="AS149" s="718" cm="1">
        <f t="array" ref="AS149">INDEX('Talnagögn | Numerical Data'!$1:$1048576,_xlfn.XMATCH($B149,'Talnagögn | Numerical Data'!$B:$B),_xlfn.XMATCH($B$4,'Talnagögn | Numerical Data'!$1:$1))/INDEX('Talnagögn | Numerical Data'!$1:$1048576,_xlfn.XMATCH($A149,'Talnagögn | Numerical Data'!$A:$A),_xlfn.XMATCH($B$2,'Talnagögn | Numerical Data'!$1:$1))-1</f>
        <v>4.8197299239228331E-2</v>
      </c>
      <c r="AT149" s="540" cm="1">
        <f t="array" ref="AT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Data'!$A:$A),_xlfn.XMATCH($B$1,'Talnagögn | Numerical Data'!$1:$1))</f>
        <v>-520.82772316920898</v>
      </c>
      <c r="AU149" s="717" cm="1">
        <f t="array" ref="AU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Data'!$A:$A),_xlfn.XMATCH($B$1,'Talnagögn | Numerical Data'!$1:$1))-1</f>
        <v>-0.98139592464107106</v>
      </c>
      <c r="AV149" s="540" t="e" cm="1">
        <f t="array" ref="AV149">INDEX('Talnagögn | Numerical Data'!$1:$1048576,_xlfn.XMATCH($C149,'Talnagögn | Numerical Data'!$B:$B),_xlfn.XMATCH($B$4,'Talnagögn | Numerical Data'!$1:$1))-INDEX('Talnagögn | Numerical Data'!$1:$1048576,_xlfn.XMATCH($A149,'Talnagögn | Numerical Data'!$A:$A),_xlfn.XMATCH($B$2,'Talnagögn | Numerical Data'!$1:$1))</f>
        <v>#N/A</v>
      </c>
      <c r="AW149" s="542" t="e" cm="1">
        <f t="array" ref="AW149">INDEX('Talnagögn | Numerical Data'!$1:$1048576,_xlfn.XMATCH($C149,'Talnagögn | Numerical Data'!$B:$B),_xlfn.XMATCH($B$4,'Talnagögn | Numerical Data'!$1:$1))/INDEX('Talnagögn | Numerical Data'!$1:$1048576,_xlfn.XMATCH($A149,'Talnagögn | Numerical Data'!$A:$A),_xlfn.XMATCH($B$2,'Talnagögn | Numerical Data'!$1:$1))-1</f>
        <v>#N/A</v>
      </c>
      <c r="AX149" s="1271"/>
      <c r="AY149" s="1271"/>
      <c r="AZ149" s="237"/>
      <c r="BA149" s="1272"/>
      <c r="BB149" s="1272"/>
      <c r="BC149" s="789"/>
    </row>
    <row r="150" spans="1:55" s="40" customFormat="1" ht="21" customHeight="1" x14ac:dyDescent="0.4">
      <c r="A150" s="50" t="s">
        <v>44</v>
      </c>
      <c r="B150" s="50" t="s">
        <v>268</v>
      </c>
      <c r="C150" s="1038" t="s">
        <v>275</v>
      </c>
      <c r="D150" s="245" t="s">
        <v>48</v>
      </c>
      <c r="E150" s="721" t="str">
        <f>'Talnagögn | Numerical Data'!$D$30</f>
        <v>Landbúnaður</v>
      </c>
      <c r="F150" s="540" cm="1">
        <f t="array" ref="F150">INDEX('Talnagögn | Numerical Data'!$1:$1048576, _xlfn.XMATCH($A150,'Talnagögn | Numerical Data'!$A:$A), _xlfn.XMATCH($A$1,'Talnagögn | Numerical Data'!$1:$1))</f>
        <v>669.59914464131464</v>
      </c>
      <c r="G150" s="717">
        <f t="shared" si="0"/>
        <v>0.14027837228600301</v>
      </c>
      <c r="H150" s="546" cm="1">
        <f t="array" ref="H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_xlfn.XMATCH($B$3,'Talnagögn | Numerical Data'!$1:$1))</f>
        <v>-6.0262763072659027</v>
      </c>
      <c r="I150" s="724" cm="1">
        <f t="array" ref="I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_xlfn.XMATCH($B$3,'Talnagögn | Numerical Data'!$1:$1))-1</f>
        <v>-8.9195523442634483E-3</v>
      </c>
      <c r="J150" s="546" cm="1">
        <f t="array" ref="J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_xlfn.XMATCH($B$2,'Talnagögn | Numerical Data'!$1:$1))</f>
        <v>-6.7570985142256177</v>
      </c>
      <c r="K150" s="718" cm="1">
        <f t="array" ref="K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_xlfn.XMATCH($B$2,'Talnagögn | Numerical Data'!$1:$1))-1</f>
        <v>-9.9904430285145951E-3</v>
      </c>
      <c r="L150" s="540" cm="1">
        <f t="array" ref="L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_xlfn.XMATCH($B$1,'Talnagögn | Numerical Data'!$1:$1))</f>
        <v>-36.171730878748576</v>
      </c>
      <c r="M150" s="543" cm="1">
        <f t="array" ref="M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_xlfn.XMATCH($B$1,'Talnagögn | Numerical Data'!$1:$1))-1</f>
        <v>-5.1251379354658955E-2</v>
      </c>
      <c r="O150" s="721" t="str">
        <f>'Talnagögn | Numerical Data'!$D$30</f>
        <v>Landbúnaður</v>
      </c>
      <c r="P150" s="546" cm="1">
        <f t="array" ref="P150">INDEX('Talnagögn | Numerical Data'!$1:$1048576,_xlfn.XMATCH($B150,'Talnagögn | Numerical Data'!$B:$B),_xlfn.XMATCH($B$4,'Talnagögn | Numerical Data'!$1:$1))-INDEX('Talnagögn | Numerical Data'!$1:$1048576,_xlfn.XMATCH($A150,'Talnagögn | Numerical Data'!$A:$A),_xlfn.XMATCH($B$2,'Talnagögn | Numerical Data'!$1:$1))</f>
        <v>-6.2097456645392413</v>
      </c>
      <c r="Q150" s="724" cm="1">
        <f t="array" ref="Q150">INDEX('Talnagögn | Numerical Data'!$1:$1048576,_xlfn.XMATCH($B150,'Talnagögn | Numerical Data'!$B:$B),_xlfn.XMATCH($B$4,'Talnagögn | Numerical Data'!$1:$1))/INDEX('Talnagögn | Numerical Data'!$1:$1048576,_xlfn.XMATCH($A150,'Talnagögn | Numerical Data'!$A:$A),_xlfn.XMATCH($B$2,'Talnagögn | Numerical Data'!$1:$1))-1</f>
        <v>-9.1811759370589163E-3</v>
      </c>
      <c r="R150" s="540" cm="1">
        <f t="array" ref="R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Data'!$A:$A),_xlfn.XMATCH($B$1,'Talnagögn | Numerical Data'!$1:$1))</f>
        <v>-71.788039626321506</v>
      </c>
      <c r="S150" s="542" cm="1">
        <f t="array" ref="S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Data'!$A:$A),_xlfn.XMATCH($B$1,'Talnagögn | Numerical Data'!$1:$1))-1</f>
        <v>-0.10171578640649181</v>
      </c>
      <c r="U150" s="787"/>
      <c r="X150" s="711"/>
      <c r="AD150" s="760"/>
      <c r="AG150" s="721" t="str">
        <f>'Talnagögn | Numerical Data'!$E$30</f>
        <v>Agriculture</v>
      </c>
      <c r="AH150" s="540" cm="1">
        <f t="array" ref="AH150">INDEX('Talnagögn | Numerical Data'!$1:$1048576, _xlfn.XMATCH($A150,'Talnagögn | Numerical Data'!$A:$A), _xlfn.XMATCH($A$1,'Talnagögn | Numerical Data'!$1:$1))</f>
        <v>669.59914464131464</v>
      </c>
      <c r="AI150" s="717">
        <f t="shared" si="1"/>
        <v>0.14027837228600301</v>
      </c>
      <c r="AJ150" s="540" cm="1">
        <f t="array" ref="AJ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_xlfn.XMATCH($B$3,'Talnagögn | Numerical Data'!$1:$1))</f>
        <v>-6.0262763072659027</v>
      </c>
      <c r="AK150" s="724" cm="1">
        <f t="array" ref="AK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_xlfn.XMATCH($B$3,'Talnagögn | Numerical Data'!$1:$1))-1</f>
        <v>-8.9195523442634483E-3</v>
      </c>
      <c r="AL150" s="540" cm="1">
        <f t="array" ref="AL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_xlfn.XMATCH($B$2,'Talnagögn | Numerical Data'!$1:$1))</f>
        <v>-6.7570985142256177</v>
      </c>
      <c r="AM150" s="718" cm="1">
        <f t="array" ref="AM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_xlfn.XMATCH($B$2,'Talnagögn | Numerical Data'!$1:$1))-1</f>
        <v>-9.9904430285145951E-3</v>
      </c>
      <c r="AN150" s="540" cm="1">
        <f t="array" ref="AN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_xlfn.XMATCH($B$1,'Talnagögn | Numerical Data'!$1:$1))</f>
        <v>-36.171730878748576</v>
      </c>
      <c r="AO150" s="543" cm="1">
        <f t="array" ref="AO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_xlfn.XMATCH($B$1,'Talnagögn | Numerical Data'!$1:$1))-1</f>
        <v>-5.1251379354658955E-2</v>
      </c>
      <c r="AQ150" s="721" t="str">
        <f>'Talnagögn | Numerical Data'!$E$30</f>
        <v>Agriculture</v>
      </c>
      <c r="AR150" s="546" cm="1">
        <f t="array" ref="AR150">INDEX('Talnagögn | Numerical Data'!$1:$1048576,_xlfn.XMATCH($B150,'Talnagögn | Numerical Data'!$B:$B),_xlfn.XMATCH($B$4,'Talnagögn | Numerical Data'!$1:$1))-INDEX('Talnagögn | Numerical Data'!$1:$1048576,_xlfn.XMATCH($A150,'Talnagögn | Numerical Data'!$A:$A),_xlfn.XMATCH($B$2,'Talnagögn | Numerical Data'!$1:$1))</f>
        <v>-6.2097456645392413</v>
      </c>
      <c r="AS150" s="724" cm="1">
        <f t="array" ref="AS150">INDEX('Talnagögn | Numerical Data'!$1:$1048576,_xlfn.XMATCH($B150,'Talnagögn | Numerical Data'!$B:$B),_xlfn.XMATCH($B$4,'Talnagögn | Numerical Data'!$1:$1))/INDEX('Talnagögn | Numerical Data'!$1:$1048576,_xlfn.XMATCH($A150,'Talnagögn | Numerical Data'!$A:$A),_xlfn.XMATCH($B$2,'Talnagögn | Numerical Data'!$1:$1))-1</f>
        <v>-9.1811759370589163E-3</v>
      </c>
      <c r="AT150" s="540" cm="1">
        <f t="array" ref="AT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Data'!$A:$A),_xlfn.XMATCH($B$1,'Talnagögn | Numerical Data'!$1:$1))</f>
        <v>-71.788039626321506</v>
      </c>
      <c r="AU150" s="717" cm="1">
        <f t="array" ref="AU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Data'!$A:$A),_xlfn.XMATCH($B$1,'Talnagögn | Numerical Data'!$1:$1))-1</f>
        <v>-0.10171578640649181</v>
      </c>
      <c r="AV150" s="540" t="e" cm="1">
        <f t="array" ref="AV150">INDEX('Talnagögn | Numerical Data'!$1:$1048576,_xlfn.XMATCH($C150,'Talnagögn | Numerical Data'!$B:$B),_xlfn.XMATCH($B$4,'Talnagögn | Numerical Data'!$1:$1))-INDEX('Talnagögn | Numerical Data'!$1:$1048576,_xlfn.XMATCH($A150,'Talnagögn | Numerical Data'!$A:$A),_xlfn.XMATCH($B$2,'Talnagögn | Numerical Data'!$1:$1))</f>
        <v>#N/A</v>
      </c>
      <c r="AW150" s="543" t="e" cm="1">
        <f t="array" ref="AW150">INDEX('Talnagögn | Numerical Data'!$1:$1048576,_xlfn.XMATCH($C150,'Talnagögn | Numerical Data'!$B:$B),_xlfn.XMATCH($B$4,'Talnagögn | Numerical Data'!$1:$1))/INDEX('Talnagögn | Numerical Data'!$1:$1048576,_xlfn.XMATCH($A150,'Talnagögn | Numerical Data'!$A:$A),_xlfn.XMATCH($B$2,'Talnagögn | Numerical Data'!$1:$1))-1</f>
        <v>#N/A</v>
      </c>
      <c r="AX150" s="1271"/>
      <c r="AY150" s="1271"/>
      <c r="AZ150" s="249"/>
      <c r="BA150" s="1272"/>
      <c r="BB150" s="1272"/>
      <c r="BC150" s="238"/>
    </row>
    <row r="151" spans="1:55" s="40" customFormat="1" ht="21" customHeight="1" x14ac:dyDescent="0.4">
      <c r="A151" s="50" t="s">
        <v>50</v>
      </c>
      <c r="B151" s="50" t="s">
        <v>280</v>
      </c>
      <c r="C151" s="1038" t="s">
        <v>286</v>
      </c>
      <c r="D151" s="245" t="s">
        <v>48</v>
      </c>
      <c r="E151" s="721" t="str">
        <f>'Talnagögn | Numerical Data'!$D$25</f>
        <v>Fiskiskip</v>
      </c>
      <c r="F151" s="540" cm="1">
        <f t="array" ref="F151">INDEX('Talnagögn | Numerical Data'!$1:$1048576, _xlfn.XMATCH($A151,'Talnagögn | Numerical Data'!$A:$A), _xlfn.XMATCH($A$1,'Talnagögn | Numerical Data'!$1:$1))</f>
        <v>519.47716734952905</v>
      </c>
      <c r="G151" s="717">
        <f t="shared" si="0"/>
        <v>0.10882841183223238</v>
      </c>
      <c r="H151" s="540" cm="1">
        <f t="array" ref="H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_xlfn.XMATCH($B$3,'Talnagögn | Numerical Data'!$1:$1))</f>
        <v>34.141952595727957</v>
      </c>
      <c r="I151" s="718" cm="1">
        <f t="array" ref="I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_xlfn.XMATCH($B$3,'Talnagögn | Numerical Data'!$1:$1))-1</f>
        <v>7.0347157094395874E-2</v>
      </c>
      <c r="J151" s="540" cm="1">
        <f t="array" ref="J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_xlfn.XMATCH($B$2,'Talnagögn | Numerical Data'!$1:$1))</f>
        <v>-222.79862960805031</v>
      </c>
      <c r="K151" s="717" cm="1">
        <f t="array" ref="K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_xlfn.XMATCH($B$2,'Talnagögn | Numerical Data'!$1:$1))-1</f>
        <v>-0.30015612865359687</v>
      </c>
      <c r="L151" s="540" cm="1">
        <f t="array" ref="L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_xlfn.XMATCH($B$1,'Talnagögn | Numerical Data'!$1:$1))</f>
        <v>-240.96026980744898</v>
      </c>
      <c r="M151" s="542" cm="1">
        <f t="array" ref="M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_xlfn.XMATCH($B$1,'Talnagögn | Numerical Data'!$1:$1))-1</f>
        <v>-0.31687060372555964</v>
      </c>
      <c r="O151" s="721" t="str">
        <f>'Talnagögn | Numerical Data'!$D$25</f>
        <v>Fiskiskip</v>
      </c>
      <c r="P151" s="540" cm="1">
        <f t="array" ref="P151">INDEX('Talnagögn | Numerical Data'!$1:$1048576,_xlfn.XMATCH($B151,'Talnagögn | Numerical Data'!$B:$B),_xlfn.XMATCH($B$4,'Talnagögn | Numerical Data'!$1:$1))-INDEX('Talnagögn | Numerical Data'!$1:$1048576,_xlfn.XMATCH($A151,'Talnagögn | Numerical Data'!$A:$A),_xlfn.XMATCH($B$2,'Talnagögn | Numerical Data'!$1:$1))</f>
        <v>-318.68852723050662</v>
      </c>
      <c r="Q151" s="717" cm="1">
        <f t="array" ref="Q151">INDEX('Talnagögn | Numerical Data'!$1:$1048576,_xlfn.XMATCH($B151,'Talnagögn | Numerical Data'!$B:$B),_xlfn.XMATCH($B$4,'Talnagögn | Numerical Data'!$1:$1))/INDEX('Talnagögn | Numerical Data'!$1:$1048576,_xlfn.XMATCH($A151,'Talnagögn | Numerical Data'!$A:$A),_xlfn.XMATCH($B$2,'Talnagögn | Numerical Data'!$1:$1))-1</f>
        <v>-0.42933977981868576</v>
      </c>
      <c r="R151" s="540" cm="1">
        <f t="array" ref="R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Data'!$A:$A),_xlfn.XMATCH($B$1,'Talnagögn | Numerical Data'!$1:$1))</f>
        <v>-708.50562492953702</v>
      </c>
      <c r="S151" s="542" cm="1">
        <f t="array" ref="S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Data'!$A:$A),_xlfn.XMATCH($B$1,'Talnagögn | Numerical Data'!$1:$1))-1</f>
        <v>-0.9317079753180002</v>
      </c>
      <c r="U151" s="241"/>
      <c r="X151" s="743"/>
      <c r="AD151" s="760"/>
      <c r="AG151" s="721" t="str">
        <f>'Talnagögn | Numerical Data'!$E$25</f>
        <v>Fishing</v>
      </c>
      <c r="AH151" s="540" cm="1">
        <f t="array" ref="AH151">INDEX('Talnagögn | Numerical Data'!$1:$1048576, _xlfn.XMATCH($A151,'Talnagögn | Numerical Data'!$A:$A), _xlfn.XMATCH($A$1,'Talnagögn | Numerical Data'!$1:$1))</f>
        <v>519.47716734952905</v>
      </c>
      <c r="AI151" s="717">
        <f t="shared" si="1"/>
        <v>0.10882841183223238</v>
      </c>
      <c r="AJ151" s="540" cm="1">
        <f t="array" ref="AJ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_xlfn.XMATCH($B$3,'Talnagögn | Numerical Data'!$1:$1))</f>
        <v>34.141952595727957</v>
      </c>
      <c r="AK151" s="718" cm="1">
        <f t="array" ref="AK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_xlfn.XMATCH($B$3,'Talnagögn | Numerical Data'!$1:$1))-1</f>
        <v>7.0347157094395874E-2</v>
      </c>
      <c r="AL151" s="540" cm="1">
        <f t="array" ref="AL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_xlfn.XMATCH($B$2,'Talnagögn | Numerical Data'!$1:$1))</f>
        <v>-222.79862960805031</v>
      </c>
      <c r="AM151" s="717" cm="1">
        <f t="array" ref="AM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_xlfn.XMATCH($B$2,'Talnagögn | Numerical Data'!$1:$1))-1</f>
        <v>-0.30015612865359687</v>
      </c>
      <c r="AN151" s="540" cm="1">
        <f t="array" ref="AN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_xlfn.XMATCH($B$1,'Talnagögn | Numerical Data'!$1:$1))</f>
        <v>-240.96026980744898</v>
      </c>
      <c r="AO151" s="542" cm="1">
        <f t="array" ref="AO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_xlfn.XMATCH($B$1,'Talnagögn | Numerical Data'!$1:$1))-1</f>
        <v>-0.31687060372555964</v>
      </c>
      <c r="AQ151" s="721" t="str">
        <f>'Talnagögn | Numerical Data'!$E$25</f>
        <v>Fishing</v>
      </c>
      <c r="AR151" s="540" cm="1">
        <f t="array" ref="AR151">INDEX('Talnagögn | Numerical Data'!$1:$1048576,_xlfn.XMATCH($B151,'Talnagögn | Numerical Data'!$B:$B),_xlfn.XMATCH($B$4,'Talnagögn | Numerical Data'!$1:$1))-INDEX('Talnagögn | Numerical Data'!$1:$1048576,_xlfn.XMATCH($A151,'Talnagögn | Numerical Data'!$A:$A),_xlfn.XMATCH($B$2,'Talnagögn | Numerical Data'!$1:$1))</f>
        <v>-318.68852723050662</v>
      </c>
      <c r="AS151" s="717" cm="1">
        <f t="array" ref="AS151">INDEX('Talnagögn | Numerical Data'!$1:$1048576,_xlfn.XMATCH($B151,'Talnagögn | Numerical Data'!$B:$B),_xlfn.XMATCH($B$4,'Talnagögn | Numerical Data'!$1:$1))/INDEX('Talnagögn | Numerical Data'!$1:$1048576,_xlfn.XMATCH($A151,'Talnagögn | Numerical Data'!$A:$A),_xlfn.XMATCH($B$2,'Talnagögn | Numerical Data'!$1:$1))-1</f>
        <v>-0.42933977981868576</v>
      </c>
      <c r="AT151" s="540" cm="1">
        <f t="array" ref="AT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Data'!$A:$A),_xlfn.XMATCH($B$1,'Talnagögn | Numerical Data'!$1:$1))</f>
        <v>-708.50562492953702</v>
      </c>
      <c r="AU151" s="717" cm="1">
        <f t="array" ref="AU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Data'!$A:$A),_xlfn.XMATCH($B$1,'Talnagögn | Numerical Data'!$1:$1))-1</f>
        <v>-0.9317079753180002</v>
      </c>
      <c r="AV151" s="540" t="e" cm="1">
        <f t="array" ref="AV151">INDEX('Talnagögn | Numerical Data'!$1:$1048576,_xlfn.XMATCH($C151,'Talnagögn | Numerical Data'!$B:$B),_xlfn.XMATCH($B$4,'Talnagögn | Numerical Data'!$1:$1))-INDEX('Talnagögn | Numerical Data'!$1:$1048576,_xlfn.XMATCH($A151,'Talnagögn | Numerical Data'!$A:$A),_xlfn.XMATCH($B$2,'Talnagögn | Numerical Data'!$1:$1))</f>
        <v>#N/A</v>
      </c>
      <c r="AW151" s="542" t="e" cm="1">
        <f t="array" ref="AW151">INDEX('Talnagögn | Numerical Data'!$1:$1048576,_xlfn.XMATCH($C151,'Talnagögn | Numerical Data'!$B:$B),_xlfn.XMATCH($B$4,'Talnagögn | Numerical Data'!$1:$1))/INDEX('Talnagögn | Numerical Data'!$1:$1048576,_xlfn.XMATCH($A151,'Talnagögn | Numerical Data'!$A:$A),_xlfn.XMATCH($B$2,'Talnagögn | Numerical Data'!$1:$1))-1</f>
        <v>#N/A</v>
      </c>
      <c r="AX151" s="1270"/>
      <c r="AY151" s="1270"/>
      <c r="AZ151" s="237"/>
      <c r="BA151" s="1270"/>
      <c r="BB151" s="1270"/>
      <c r="BC151" s="237"/>
    </row>
    <row r="152" spans="1:55" s="40" customFormat="1" ht="21" customHeight="1" x14ac:dyDescent="0.4">
      <c r="A152" s="50" t="s">
        <v>223</v>
      </c>
      <c r="B152" s="50" t="s">
        <v>284</v>
      </c>
      <c r="C152" s="1038" t="s">
        <v>290</v>
      </c>
      <c r="D152" s="245" t="s">
        <v>48</v>
      </c>
      <c r="E152" s="721" t="str">
        <f>'Talnagögn | Numerical Data'!$D$29</f>
        <v>Kísil- og kísilmálmframleiðsla</v>
      </c>
      <c r="F152" s="540" cm="1">
        <f t="array" ref="F152">INDEX('Talnagögn | Numerical Data'!$1:$1048576, _xlfn.XMATCH($A152,'Talnagögn | Numerical Data'!$A:$A), _xlfn.XMATCH($A$1,'Talnagögn | Numerical Data'!$1:$1))</f>
        <v>527.31915978550001</v>
      </c>
      <c r="G152" s="717">
        <f t="shared" si="0"/>
        <v>0.11047127822954002</v>
      </c>
      <c r="H152" s="540" cm="1">
        <f t="array" ref="H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_xlfn.XMATCH($B$3,'Talnagögn | Numerical Data'!$1:$1))</f>
        <v>119.11485504318347</v>
      </c>
      <c r="I152" s="717" cm="1">
        <f t="array" ref="I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_xlfn.XMATCH($B$3,'Talnagögn | Numerical Data'!$1:$1))-1</f>
        <v>0.29180205514583202</v>
      </c>
      <c r="J152" s="540" cm="1">
        <f t="array" ref="J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_xlfn.XMATCH($B$2,'Talnagögn | Numerical Data'!$1:$1))</f>
        <v>147.37626577909998</v>
      </c>
      <c r="K152" s="717" cm="1">
        <f t="array" ref="K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_xlfn.XMATCH($B$2,'Talnagögn | Numerical Data'!$1:$1))-1</f>
        <v>0.38789057014609529</v>
      </c>
      <c r="L152" s="540" cm="1">
        <f t="array" ref="L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_xlfn.XMATCH($B$1,'Talnagögn | Numerical Data'!$1:$1))</f>
        <v>316.76443807883334</v>
      </c>
      <c r="M152" s="542" cm="1">
        <f t="array" ref="M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_xlfn.XMATCH($B$1,'Talnagögn | Numerical Data'!$1:$1))-1</f>
        <v>1.504428091240491</v>
      </c>
      <c r="O152" s="721" t="str">
        <f>'Talnagögn | Numerical Data'!$D$29</f>
        <v>Kísil- og kísilmálmframleiðsla</v>
      </c>
      <c r="P152" s="540" cm="1">
        <f t="array" ref="P152">INDEX('Talnagögn | Numerical Data'!$1:$1048576,_xlfn.XMATCH($B152,'Talnagögn | Numerical Data'!$B:$B),_xlfn.XMATCH($B$4,'Talnagögn | Numerical Data'!$1:$1))-INDEX('Talnagögn | Numerical Data'!$1:$1048576,_xlfn.XMATCH($A152,'Talnagögn | Numerical Data'!$A:$A),_xlfn.XMATCH($B$2,'Talnagögn | Numerical Data'!$1:$1))</f>
        <v>118.24640032687836</v>
      </c>
      <c r="Q152" s="717" cm="1">
        <f t="array" ref="Q152">INDEX('Talnagögn | Numerical Data'!$1:$1048576,_xlfn.XMATCH($B152,'Talnagögn | Numerical Data'!$B:$B),_xlfn.XMATCH($B$4,'Talnagögn | Numerical Data'!$1:$1))/INDEX('Talnagögn | Numerical Data'!$1:$1048576,_xlfn.XMATCH($A152,'Talnagögn | Numerical Data'!$A:$A),_xlfn.XMATCH($B$2,'Talnagögn | Numerical Data'!$1:$1))-1</f>
        <v>0.311221507737651</v>
      </c>
      <c r="R152" s="540" cm="1">
        <f t="array" ref="R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Data'!$A:$A),_xlfn.XMATCH($B$1,'Talnagögn | Numerical Data'!$1:$1))</f>
        <v>287.63457262661171</v>
      </c>
      <c r="S152" s="542" cm="1">
        <f t="array" ref="S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Data'!$A:$A),_xlfn.XMATCH($B$1,'Talnagögn | Numerical Data'!$1:$1))-1</f>
        <v>1.3660798974022939</v>
      </c>
      <c r="U152" s="788"/>
      <c r="X152" s="788"/>
      <c r="AD152" s="760"/>
      <c r="AG152" s="721" t="str">
        <f>'Talnagögn | Numerical Data'!$E$29</f>
        <v>Ferrosilicon and Silicon Metal Production</v>
      </c>
      <c r="AH152" s="540" cm="1">
        <f t="array" ref="AH152">INDEX('Talnagögn | Numerical Data'!$1:$1048576, _xlfn.XMATCH($A152,'Talnagögn | Numerical Data'!$A:$A), _xlfn.XMATCH($A$1,'Talnagögn | Numerical Data'!$1:$1))</f>
        <v>527.31915978550001</v>
      </c>
      <c r="AI152" s="717">
        <f t="shared" si="1"/>
        <v>0.11047127822954002</v>
      </c>
      <c r="AJ152" s="540" cm="1">
        <f t="array" ref="AJ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_xlfn.XMATCH($B$3,'Talnagögn | Numerical Data'!$1:$1))</f>
        <v>119.11485504318347</v>
      </c>
      <c r="AK152" s="717" cm="1">
        <f t="array" ref="AK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_xlfn.XMATCH($B$3,'Talnagögn | Numerical Data'!$1:$1))-1</f>
        <v>0.29180205514583202</v>
      </c>
      <c r="AL152" s="540" cm="1">
        <f t="array" ref="AL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_xlfn.XMATCH($B$2,'Talnagögn | Numerical Data'!$1:$1))</f>
        <v>147.37626577909998</v>
      </c>
      <c r="AM152" s="717" cm="1">
        <f t="array" ref="AM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_xlfn.XMATCH($B$2,'Talnagögn | Numerical Data'!$1:$1))-1</f>
        <v>0.38789057014609529</v>
      </c>
      <c r="AN152" s="540" cm="1">
        <f t="array" ref="AN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_xlfn.XMATCH($B$1,'Talnagögn | Numerical Data'!$1:$1))</f>
        <v>316.76443807883334</v>
      </c>
      <c r="AO152" s="542" cm="1">
        <f t="array" ref="AO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_xlfn.XMATCH($B$1,'Talnagögn | Numerical Data'!$1:$1))-1</f>
        <v>1.504428091240491</v>
      </c>
      <c r="AQ152" s="721" t="str">
        <f>'Talnagögn | Numerical Data'!$E$29</f>
        <v>Ferrosilicon and Silicon Metal Production</v>
      </c>
      <c r="AR152" s="540" cm="1">
        <f t="array" ref="AR152">INDEX('Talnagögn | Numerical Data'!$1:$1048576,_xlfn.XMATCH($B152,'Talnagögn | Numerical Data'!$B:$B),_xlfn.XMATCH($B$4,'Talnagögn | Numerical Data'!$1:$1))-INDEX('Talnagögn | Numerical Data'!$1:$1048576,_xlfn.XMATCH($A152,'Talnagögn | Numerical Data'!$A:$A),_xlfn.XMATCH($B$2,'Talnagögn | Numerical Data'!$1:$1))</f>
        <v>118.24640032687836</v>
      </c>
      <c r="AS152" s="717" cm="1">
        <f t="array" ref="AS152">INDEX('Talnagögn | Numerical Data'!$1:$1048576,_xlfn.XMATCH($B152,'Talnagögn | Numerical Data'!$B:$B),_xlfn.XMATCH($B$4,'Talnagögn | Numerical Data'!$1:$1))/INDEX('Talnagögn | Numerical Data'!$1:$1048576,_xlfn.XMATCH($A152,'Talnagögn | Numerical Data'!$A:$A),_xlfn.XMATCH($B$2,'Talnagögn | Numerical Data'!$1:$1))-1</f>
        <v>0.311221507737651</v>
      </c>
      <c r="AT152" s="540" cm="1">
        <f t="array" ref="AT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Data'!$A:$A),_xlfn.XMATCH($B$1,'Talnagögn | Numerical Data'!$1:$1))</f>
        <v>287.63457262661171</v>
      </c>
      <c r="AU152" s="717" cm="1">
        <f t="array" ref="AU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Data'!$A:$A),_xlfn.XMATCH($B$1,'Talnagögn | Numerical Data'!$1:$1))-1</f>
        <v>1.3660798974022939</v>
      </c>
      <c r="AV152" s="540" t="e" cm="1">
        <f t="array" ref="AV152">INDEX('Talnagögn | Numerical Data'!$1:$1048576,_xlfn.XMATCH($C152,'Talnagögn | Numerical Data'!$B:$B),_xlfn.XMATCH($B$4,'Talnagögn | Numerical Data'!$1:$1))-INDEX('Talnagögn | Numerical Data'!$1:$1048576,_xlfn.XMATCH($A152,'Talnagögn | Numerical Data'!$A:$A),_xlfn.XMATCH($B$2,'Talnagögn | Numerical Data'!$1:$1))</f>
        <v>#N/A</v>
      </c>
      <c r="AW152" s="542" t="e" cm="1">
        <f t="array" ref="AW152">INDEX('Talnagögn | Numerical Data'!$1:$1048576,_xlfn.XMATCH($C152,'Talnagögn | Numerical Data'!$B:$B),_xlfn.XMATCH($B$4,'Talnagögn | Numerical Data'!$1:$1))/INDEX('Talnagögn | Numerical Data'!$1:$1048576,_xlfn.XMATCH($A152,'Talnagögn | Numerical Data'!$A:$A),_xlfn.XMATCH($B$2,'Talnagögn | Numerical Data'!$1:$1))-1</f>
        <v>#N/A</v>
      </c>
      <c r="AX152" s="1275"/>
      <c r="AY152" s="1275"/>
      <c r="AZ152" s="363"/>
      <c r="BA152" s="1275"/>
      <c r="BB152" s="1275"/>
      <c r="BC152" s="364"/>
    </row>
    <row r="153" spans="1:55" s="40" customFormat="1" ht="21" customHeight="1" x14ac:dyDescent="0.4">
      <c r="A153" s="50" t="s">
        <v>46</v>
      </c>
      <c r="B153" s="50" t="s">
        <v>270</v>
      </c>
      <c r="C153" s="1038" t="s">
        <v>277</v>
      </c>
      <c r="D153" s="245" t="s">
        <v>48</v>
      </c>
      <c r="E153" s="721" t="str">
        <f>'Talnagögn | Numerical Data'!$D$31</f>
        <v>Úrgangur</v>
      </c>
      <c r="F153" s="540" cm="1">
        <f t="array" ref="F153">INDEX('Talnagögn | Numerical Data'!$1:$1048576, _xlfn.XMATCH($A153,'Talnagögn | Numerical Data'!$A:$A), _xlfn.XMATCH($A$1,'Talnagögn | Numerical Data'!$1:$1))</f>
        <v>238.29994109170406</v>
      </c>
      <c r="G153" s="718">
        <f t="shared" si="0"/>
        <v>4.992289509285628E-2</v>
      </c>
      <c r="H153" s="546" cm="1">
        <f t="array" ref="H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_xlfn.XMATCH($B$3,'Talnagögn | Numerical Data'!$1:$1))</f>
        <v>-9.2089246649518657</v>
      </c>
      <c r="I153" s="718" cm="1">
        <f t="array" ref="I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_xlfn.XMATCH($B$3,'Talnagögn | Numerical Data'!$1:$1))-1</f>
        <v>-3.7206443643137299E-2</v>
      </c>
      <c r="J153" s="540" cm="1">
        <f t="array" ref="J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_xlfn.XMATCH($B$2,'Talnagögn | Numerical Data'!$1:$1))</f>
        <v>-71.155145258225446</v>
      </c>
      <c r="K153" s="717" cm="1">
        <f t="array" ref="K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_xlfn.XMATCH($B$2,'Talnagögn | Numerical Data'!$1:$1))-1</f>
        <v>-0.22993690650721355</v>
      </c>
      <c r="L153" s="540" cm="1">
        <f t="array" ref="L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_xlfn.XMATCH($B$1,'Talnagögn | Numerical Data'!$1:$1))</f>
        <v>30.818805742526479</v>
      </c>
      <c r="M153" s="542" cm="1">
        <f t="array" ref="M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_xlfn.XMATCH($B$1,'Talnagögn | Numerical Data'!$1:$1))-1</f>
        <v>0.14853786919307321</v>
      </c>
      <c r="O153" s="721" t="str">
        <f>'Talnagögn | Numerical Data'!$D$31</f>
        <v>Úrgangur</v>
      </c>
      <c r="P153" s="540" cm="1">
        <f t="array" ref="P153">INDEX('Talnagögn | Numerical Data'!$1:$1048576,_xlfn.XMATCH($B153,'Talnagögn | Numerical Data'!$B:$B),_xlfn.XMATCH($B$4,'Talnagögn | Numerical Data'!$1:$1))-INDEX('Talnagögn | Numerical Data'!$1:$1048576,_xlfn.XMATCH($A153,'Talnagögn | Numerical Data'!$A:$A),_xlfn.XMATCH($B$2,'Talnagögn | Numerical Data'!$1:$1))</f>
        <v>-152.43221888630947</v>
      </c>
      <c r="Q153" s="717" cm="1">
        <f t="array" ref="Q153">INDEX('Talnagögn | Numerical Data'!$1:$1048576,_xlfn.XMATCH($B153,'Talnagögn | Numerical Data'!$B:$B),_xlfn.XMATCH($B$4,'Talnagögn | Numerical Data'!$1:$1))/INDEX('Talnagögn | Numerical Data'!$1:$1048576,_xlfn.XMATCH($A153,'Talnagögn | Numerical Data'!$A:$A),_xlfn.XMATCH($B$2,'Talnagögn | Numerical Data'!$1:$1))-1</f>
        <v>-0.49258269005777544</v>
      </c>
      <c r="R153" s="540" cm="1">
        <f t="array" ref="R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Data'!$A:$A),_xlfn.XMATCH($B$1,'Talnagögn | Numerical Data'!$1:$1))</f>
        <v>-136.88652171680832</v>
      </c>
      <c r="S153" s="542" cm="1">
        <f t="array" ref="S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Data'!$A:$A),_xlfn.XMATCH($B$1,'Talnagögn | Numerical Data'!$1:$1))-1</f>
        <v>-0.65975406143038984</v>
      </c>
      <c r="U153" s="787"/>
      <c r="X153" s="711"/>
      <c r="AD153" s="760"/>
      <c r="AG153" s="721" t="str">
        <f>'Talnagögn | Numerical Data'!$E$31</f>
        <v>Waste</v>
      </c>
      <c r="AH153" s="540" cm="1">
        <f t="array" ref="AH153">INDEX('Talnagögn | Numerical Data'!$1:$1048576, _xlfn.XMATCH($A153,'Talnagögn | Numerical Data'!$A:$A), _xlfn.XMATCH($A$1,'Talnagögn | Numerical Data'!$1:$1))</f>
        <v>238.29994109170406</v>
      </c>
      <c r="AI153" s="718">
        <f t="shared" si="1"/>
        <v>4.992289509285628E-2</v>
      </c>
      <c r="AJ153" s="540" cm="1">
        <f t="array" ref="AJ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_xlfn.XMATCH($B$3,'Talnagögn | Numerical Data'!$1:$1))</f>
        <v>-9.2089246649518657</v>
      </c>
      <c r="AK153" s="718" cm="1">
        <f t="array" ref="AK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_xlfn.XMATCH($B$3,'Talnagögn | Numerical Data'!$1:$1))-1</f>
        <v>-3.7206443643137299E-2</v>
      </c>
      <c r="AL153" s="540" cm="1">
        <f t="array" ref="AL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_xlfn.XMATCH($B$2,'Talnagögn | Numerical Data'!$1:$1))</f>
        <v>-71.155145258225446</v>
      </c>
      <c r="AM153" s="717" cm="1">
        <f t="array" ref="AM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_xlfn.XMATCH($B$2,'Talnagögn | Numerical Data'!$1:$1))-1</f>
        <v>-0.22993690650721355</v>
      </c>
      <c r="AN153" s="540" cm="1">
        <f t="array" ref="AN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_xlfn.XMATCH($B$1,'Talnagögn | Numerical Data'!$1:$1))</f>
        <v>30.818805742526479</v>
      </c>
      <c r="AO153" s="542" cm="1">
        <f t="array" ref="AO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_xlfn.XMATCH($B$1,'Talnagögn | Numerical Data'!$1:$1))-1</f>
        <v>0.14853786919307321</v>
      </c>
      <c r="AQ153" s="721" t="str">
        <f>'Talnagögn | Numerical Data'!$E$31</f>
        <v>Waste</v>
      </c>
      <c r="AR153" s="540" cm="1">
        <f t="array" ref="AR153">INDEX('Talnagögn | Numerical Data'!$1:$1048576,_xlfn.XMATCH($B153,'Talnagögn | Numerical Data'!$B:$B),_xlfn.XMATCH($B$4,'Talnagögn | Numerical Data'!$1:$1))-INDEX('Talnagögn | Numerical Data'!$1:$1048576,_xlfn.XMATCH($A153,'Talnagögn | Numerical Data'!$A:$A),_xlfn.XMATCH($B$2,'Talnagögn | Numerical Data'!$1:$1))</f>
        <v>-152.43221888630947</v>
      </c>
      <c r="AS153" s="717" cm="1">
        <f t="array" ref="AS153">INDEX('Talnagögn | Numerical Data'!$1:$1048576,_xlfn.XMATCH($B153,'Talnagögn | Numerical Data'!$B:$B),_xlfn.XMATCH($B$4,'Talnagögn | Numerical Data'!$1:$1))/INDEX('Talnagögn | Numerical Data'!$1:$1048576,_xlfn.XMATCH($A153,'Talnagögn | Numerical Data'!$A:$A),_xlfn.XMATCH($B$2,'Talnagögn | Numerical Data'!$1:$1))-1</f>
        <v>-0.49258269005777544</v>
      </c>
      <c r="AT153" s="540" cm="1">
        <f t="array" ref="AT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Data'!$A:$A),_xlfn.XMATCH($B$1,'Talnagögn | Numerical Data'!$1:$1))</f>
        <v>-136.88652171680832</v>
      </c>
      <c r="AU153" s="717" cm="1">
        <f t="array" ref="AU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Data'!$A:$A),_xlfn.XMATCH($B$1,'Talnagögn | Numerical Data'!$1:$1))-1</f>
        <v>-0.65975406143038984</v>
      </c>
      <c r="AV153" s="540" t="e" cm="1">
        <f t="array" ref="AV153">INDEX('Talnagögn | Numerical Data'!$1:$1048576,_xlfn.XMATCH($C153,'Talnagögn | Numerical Data'!$B:$B),_xlfn.XMATCH($B$4,'Talnagögn | Numerical Data'!$1:$1))-INDEX('Talnagögn | Numerical Data'!$1:$1048576,_xlfn.XMATCH($A153,'Talnagögn | Numerical Data'!$A:$A),_xlfn.XMATCH($B$2,'Talnagögn | Numerical Data'!$1:$1))</f>
        <v>#N/A</v>
      </c>
      <c r="AW153" s="542" t="e" cm="1">
        <f t="array" ref="AW153">INDEX('Talnagögn | Numerical Data'!$1:$1048576,_xlfn.XMATCH($C153,'Talnagögn | Numerical Data'!$B:$B),_xlfn.XMATCH($B$4,'Talnagögn | Numerical Data'!$1:$1))/INDEX('Talnagögn | Numerical Data'!$1:$1048576,_xlfn.XMATCH($A153,'Talnagögn | Numerical Data'!$A:$A),_xlfn.XMATCH($B$2,'Talnagögn | Numerical Data'!$1:$1))-1</f>
        <v>#N/A</v>
      </c>
      <c r="AX153" s="1271"/>
      <c r="AY153" s="1271"/>
      <c r="AZ153" s="237"/>
      <c r="BA153" s="1272"/>
      <c r="BB153" s="1272"/>
      <c r="BC153" s="238"/>
    </row>
    <row r="154" spans="1:55" s="40" customFormat="1" ht="21" customHeight="1" x14ac:dyDescent="0.4">
      <c r="A154" s="50" t="s">
        <v>55</v>
      </c>
      <c r="B154" s="50" t="s">
        <v>282</v>
      </c>
      <c r="C154" s="1038" t="s">
        <v>288</v>
      </c>
      <c r="D154" s="245" t="s">
        <v>48</v>
      </c>
      <c r="E154" s="721" t="str">
        <f>'Talnagögn | Numerical Data'!$D$27</f>
        <v>Jarðvarmavirkjanir</v>
      </c>
      <c r="F154" s="540" cm="1">
        <f t="array" ref="F154">INDEX('Talnagögn | Numerical Data'!$1:$1048576, _xlfn.XMATCH($A154,'Talnagögn | Numerical Data'!$A:$A), _xlfn.XMATCH($A$1,'Talnagögn | Numerical Data'!$1:$1))</f>
        <v>223.69103641446083</v>
      </c>
      <c r="G154" s="718">
        <f t="shared" si="0"/>
        <v>4.6862387346684027E-2</v>
      </c>
      <c r="H154" s="540" cm="1">
        <f t="array" ref="H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_xlfn.XMATCH($B$3,'Talnagögn | Numerical Data'!$1:$1))</f>
        <v>46.936297447964222</v>
      </c>
      <c r="I154" s="717" cm="1">
        <f t="array" ref="I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_xlfn.XMATCH($B$3,'Talnagögn | Numerical Data'!$1:$1))-1</f>
        <v>0.26554477533335552</v>
      </c>
      <c r="J154" s="540" cm="1">
        <f t="array" ref="J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_xlfn.XMATCH($B$2,'Talnagögn | Numerical Data'!$1:$1))</f>
        <v>104.23456547237924</v>
      </c>
      <c r="K154" s="717" cm="1">
        <f t="array" ref="K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_xlfn.XMATCH($B$2,'Talnagögn | Numerical Data'!$1:$1))-1</f>
        <v>0.87257362159072427</v>
      </c>
      <c r="L154" s="540" cm="1">
        <f t="array" ref="L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_xlfn.XMATCH($B$1,'Talnagögn | Numerical Data'!$1:$1))</f>
        <v>162.11344677158331</v>
      </c>
      <c r="M154" s="542" cm="1">
        <f t="array" ref="M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_xlfn.XMATCH($B$1,'Talnagögn | Numerical Data'!$1:$1))-1</f>
        <v>2.6326695752751736</v>
      </c>
      <c r="O154" s="721" t="str">
        <f>'Talnagögn | Numerical Data'!$D$27</f>
        <v>Jarðvarmavirkjanir</v>
      </c>
      <c r="P154" s="540" cm="1">
        <f t="array" ref="P154">INDEX('Talnagögn | Numerical Data'!$1:$1048576,_xlfn.XMATCH($B154,'Talnagögn | Numerical Data'!$B:$B),_xlfn.XMATCH($B$4,'Talnagögn | Numerical Data'!$1:$1))-INDEX('Talnagögn | Numerical Data'!$1:$1048576,_xlfn.XMATCH($A154,'Talnagögn | Numerical Data'!$A:$A),_xlfn.XMATCH($B$2,'Talnagögn | Numerical Data'!$1:$1))</f>
        <v>17.124370554853328</v>
      </c>
      <c r="Q154" s="717" cm="1">
        <f t="array" ref="Q154">INDEX('Talnagögn | Numerical Data'!$1:$1048576,_xlfn.XMATCH($B154,'Talnagögn | Numerical Data'!$B:$B),_xlfn.XMATCH($B$4,'Talnagögn | Numerical Data'!$1:$1))/INDEX('Talnagögn | Numerical Data'!$1:$1048576,_xlfn.XMATCH($A154,'Talnagögn | Numerical Data'!$A:$A),_xlfn.XMATCH($B$2,'Talnagögn | Numerical Data'!$1:$1))-1</f>
        <v>0.14335238953405938</v>
      </c>
      <c r="R154" s="540" cm="1">
        <f t="array" ref="R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Data'!$A:$A),_xlfn.XMATCH($B$1,'Talnagögn | Numerical Data'!$1:$1))</f>
        <v>75.001424834595227</v>
      </c>
      <c r="S154" s="542" cm="1">
        <f t="array" ref="S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Data'!$A:$A),_xlfn.XMATCH($B$1,'Talnagögn | Numerical Data'!$1:$1))-1</f>
        <v>1.2179987113748676</v>
      </c>
      <c r="U154" s="788"/>
      <c r="X154" s="788"/>
      <c r="AD154" s="760"/>
      <c r="AG154" s="721" t="str">
        <f>'Talnagögn | Numerical Data'!$E$27</f>
        <v>Geothermal Energy</v>
      </c>
      <c r="AH154" s="540" cm="1">
        <f t="array" ref="AH154">INDEX('Talnagögn | Numerical Data'!$1:$1048576, _xlfn.XMATCH($A154,'Talnagögn | Numerical Data'!$A:$A), _xlfn.XMATCH($A$1,'Talnagögn | Numerical Data'!$1:$1))</f>
        <v>223.69103641446083</v>
      </c>
      <c r="AI154" s="718">
        <f t="shared" si="1"/>
        <v>4.6862387346684027E-2</v>
      </c>
      <c r="AJ154" s="540" cm="1">
        <f t="array" ref="AJ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_xlfn.XMATCH($B$3,'Talnagögn | Numerical Data'!$1:$1))</f>
        <v>46.936297447964222</v>
      </c>
      <c r="AK154" s="717" cm="1">
        <f t="array" ref="AK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_xlfn.XMATCH($B$3,'Talnagögn | Numerical Data'!$1:$1))-1</f>
        <v>0.26554477533335552</v>
      </c>
      <c r="AL154" s="540" cm="1">
        <f t="array" ref="AL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_xlfn.XMATCH($B$2,'Talnagögn | Numerical Data'!$1:$1))</f>
        <v>104.23456547237924</v>
      </c>
      <c r="AM154" s="717" cm="1">
        <f t="array" ref="AM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_xlfn.XMATCH($B$2,'Talnagögn | Numerical Data'!$1:$1))-1</f>
        <v>0.87257362159072427</v>
      </c>
      <c r="AN154" s="540" cm="1">
        <f t="array" ref="AN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_xlfn.XMATCH($B$1,'Talnagögn | Numerical Data'!$1:$1))</f>
        <v>162.11344677158331</v>
      </c>
      <c r="AO154" s="542" cm="1">
        <f t="array" ref="AO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_xlfn.XMATCH($B$1,'Talnagögn | Numerical Data'!$1:$1))-1</f>
        <v>2.6326695752751736</v>
      </c>
      <c r="AQ154" s="721" t="str">
        <f>'Talnagögn | Numerical Data'!$E$27</f>
        <v>Geothermal Energy</v>
      </c>
      <c r="AR154" s="540" cm="1">
        <f t="array" ref="AR154">INDEX('Talnagögn | Numerical Data'!$1:$1048576,_xlfn.XMATCH($B154,'Talnagögn | Numerical Data'!$B:$B),_xlfn.XMATCH($B$4,'Talnagögn | Numerical Data'!$1:$1))-INDEX('Talnagögn | Numerical Data'!$1:$1048576,_xlfn.XMATCH($A154,'Talnagögn | Numerical Data'!$A:$A),_xlfn.XMATCH($B$2,'Talnagögn | Numerical Data'!$1:$1))</f>
        <v>17.124370554853328</v>
      </c>
      <c r="AS154" s="717" cm="1">
        <f t="array" ref="AS154">INDEX('Talnagögn | Numerical Data'!$1:$1048576,_xlfn.XMATCH($B154,'Talnagögn | Numerical Data'!$B:$B),_xlfn.XMATCH($B$4,'Talnagögn | Numerical Data'!$1:$1))/INDEX('Talnagögn | Numerical Data'!$1:$1048576,_xlfn.XMATCH($A154,'Talnagögn | Numerical Data'!$A:$A),_xlfn.XMATCH($B$2,'Talnagögn | Numerical Data'!$1:$1))-1</f>
        <v>0.14335238953405938</v>
      </c>
      <c r="AT154" s="540" cm="1">
        <f t="array" ref="AT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Data'!$A:$A),_xlfn.XMATCH($B$1,'Talnagögn | Numerical Data'!$1:$1))</f>
        <v>75.001424834595227</v>
      </c>
      <c r="AU154" s="717" cm="1">
        <f t="array" ref="AU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Data'!$A:$A),_xlfn.XMATCH($B$1,'Talnagögn | Numerical Data'!$1:$1))-1</f>
        <v>1.2179987113748676</v>
      </c>
      <c r="AV154" s="540" t="e" cm="1">
        <f t="array" ref="AV154">INDEX('Talnagögn | Numerical Data'!$1:$1048576,_xlfn.XMATCH($C154,'Talnagögn | Numerical Data'!$B:$B),_xlfn.XMATCH($B$4,'Talnagögn | Numerical Data'!$1:$1))-INDEX('Talnagögn | Numerical Data'!$1:$1048576,_xlfn.XMATCH($A154,'Talnagögn | Numerical Data'!$A:$A),_xlfn.XMATCH($B$2,'Talnagögn | Numerical Data'!$1:$1))</f>
        <v>#N/A</v>
      </c>
      <c r="AW154" s="542" t="e" cm="1">
        <f t="array" ref="AW154">INDEX('Talnagögn | Numerical Data'!$1:$1048576,_xlfn.XMATCH($C154,'Talnagögn | Numerical Data'!$B:$B),_xlfn.XMATCH($B$4,'Talnagögn | Numerical Data'!$1:$1))/INDEX('Talnagögn | Numerical Data'!$1:$1048576,_xlfn.XMATCH($A154,'Talnagögn | Numerical Data'!$A:$A),_xlfn.XMATCH($B$2,'Talnagögn | Numerical Data'!$1:$1))-1</f>
        <v>#N/A</v>
      </c>
      <c r="AX154" s="1275"/>
      <c r="AY154" s="1275"/>
      <c r="AZ154" s="364"/>
      <c r="BA154" s="1275"/>
      <c r="BB154" s="1275"/>
      <c r="BC154" s="364"/>
    </row>
    <row r="155" spans="1:55" s="40" customFormat="1" ht="21" customHeight="1" x14ac:dyDescent="0.4">
      <c r="A155" s="4" t="s">
        <v>98</v>
      </c>
      <c r="B155" s="50" t="s">
        <v>285</v>
      </c>
      <c r="C155" s="1038" t="s">
        <v>291</v>
      </c>
      <c r="D155" s="245" t="s">
        <v>48</v>
      </c>
      <c r="E155" s="725" t="str">
        <f>'Talnagögn | Numerical Data'!$D$32</f>
        <v>Önnur losun</v>
      </c>
      <c r="F155" s="726" cm="1">
        <f t="array" ref="F155">INDEX('Talnagögn | Numerical Data'!$1:$1048576, _xlfn.XMATCH($A155,'Talnagögn | Numerical Data'!$A:$A), _xlfn.XMATCH($A$1,'Talnagögn | Numerical Data'!$1:$1))</f>
        <v>336.20880042267345</v>
      </c>
      <c r="G155" s="727">
        <f t="shared" si="0"/>
        <v>7.0434413856346939E-2</v>
      </c>
      <c r="H155" s="726" cm="1">
        <f t="array" ref="H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_xlfn.XMATCH($B$3,'Talnagögn | Numerical Data'!$1:$1))</f>
        <v>9.9781032223118018</v>
      </c>
      <c r="I155" s="727" cm="1">
        <f t="array" ref="I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_xlfn.XMATCH($B$3,'Talnagögn | Numerical Data'!$1:$1))-1</f>
        <v>3.0586034079385094E-2</v>
      </c>
      <c r="J155" s="726" cm="1">
        <f t="array" ref="J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_xlfn.XMATCH($B$2,'Talnagögn | Numerical Data'!$1:$1))</f>
        <v>-310.71858323505376</v>
      </c>
      <c r="K155" s="728" cm="1">
        <f t="array" ref="K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_xlfn.XMATCH($B$2,'Talnagögn | Numerical Data'!$1:$1))-1</f>
        <v>-0.48029901204405812</v>
      </c>
      <c r="L155" s="726" cm="1">
        <f t="array" ref="L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_xlfn.XMATCH($B$1,'Talnagögn | Numerical Data'!$1:$1))</f>
        <v>-258.61650282192295</v>
      </c>
      <c r="M155" s="729" cm="1">
        <f t="array" ref="M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_xlfn.XMATCH($B$1,'Talnagögn | Numerical Data'!$1:$1))-1</f>
        <v>-0.4347772386467863</v>
      </c>
      <c r="O155" s="725" t="str">
        <f>'Talnagögn | Numerical Data'!$D$32</f>
        <v>Önnur losun</v>
      </c>
      <c r="P155" s="726" cm="1">
        <f t="array" ref="P155">INDEX('Talnagögn | Numerical Data'!$1:$1048576,_xlfn.XMATCH($B155,'Talnagögn | Numerical Data'!$B:$B),_xlfn.XMATCH($B$4,'Talnagögn | Numerical Data'!$1:$1))-INDEX('Talnagögn | Numerical Data'!$1:$1048576,_xlfn.XMATCH($A155,'Talnagögn | Numerical Data'!$A:$A),_xlfn.XMATCH($B$2,'Talnagögn | Numerical Data'!$1:$1))</f>
        <v>-417.27001464003888</v>
      </c>
      <c r="Q155" s="728" cm="1">
        <f t="array" ref="Q155">INDEX('Talnagögn | Numerical Data'!$1:$1048576,_xlfn.XMATCH($B155,'Talnagögn | Numerical Data'!$B:$B),_xlfn.XMATCH($B$4,'Talnagögn | Numerical Data'!$1:$1))/INDEX('Talnagögn | Numerical Data'!$1:$1048576,_xlfn.XMATCH($A155,'Talnagögn | Numerical Data'!$A:$A),_xlfn.XMATCH($B$2,'Talnagögn | Numerical Data'!$1:$1))-1</f>
        <v>-0.64500286304282617</v>
      </c>
      <c r="R155" s="726" cm="1">
        <f t="array" ref="R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Data'!$A:$A),_xlfn.XMATCH($B$1,'Talnagögn | Numerical Data'!$1:$1))</f>
        <v>-507.84996613740987</v>
      </c>
      <c r="S155" s="729" cm="1">
        <f t="array" ref="S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Data'!$A:$A),_xlfn.XMATCH($B$1,'Talnagögn | Numerical Data'!$1:$1))-1</f>
        <v>-0.85378003149368098</v>
      </c>
      <c r="U155" s="787"/>
      <c r="X155" s="711"/>
      <c r="AD155" s="760"/>
      <c r="AG155" s="725" t="str">
        <f>'Talnagögn | Numerical Data'!$E$32</f>
        <v>Other Emissions</v>
      </c>
      <c r="AH155" s="726" cm="1">
        <f t="array" ref="AH155">INDEX('Talnagögn | Numerical Data'!$1:$1048576, _xlfn.XMATCH($A155,'Talnagögn | Numerical Data'!$A:$A), _xlfn.XMATCH($A$1,'Talnagögn | Numerical Data'!$1:$1))</f>
        <v>336.20880042267345</v>
      </c>
      <c r="AI155" s="727">
        <f t="shared" si="1"/>
        <v>7.0434413856346939E-2</v>
      </c>
      <c r="AJ155" s="726" cm="1">
        <f t="array" ref="AJ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_xlfn.XMATCH($B$3,'Talnagögn | Numerical Data'!$1:$1))</f>
        <v>9.9781032223118018</v>
      </c>
      <c r="AK155" s="728" cm="1">
        <f t="array" ref="AK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_xlfn.XMATCH($B$3,'Talnagögn | Numerical Data'!$1:$1))-1</f>
        <v>3.0586034079385094E-2</v>
      </c>
      <c r="AL155" s="726" cm="1">
        <f t="array" ref="AL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_xlfn.XMATCH($B$2,'Talnagögn | Numerical Data'!$1:$1))</f>
        <v>-310.71858323505376</v>
      </c>
      <c r="AM155" s="728" cm="1">
        <f t="array" ref="AM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_xlfn.XMATCH($B$2,'Talnagögn | Numerical Data'!$1:$1))-1</f>
        <v>-0.48029901204405812</v>
      </c>
      <c r="AN155" s="726" cm="1">
        <f t="array" ref="AN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_xlfn.XMATCH($B$1,'Talnagögn | Numerical Data'!$1:$1))</f>
        <v>-258.61650282192295</v>
      </c>
      <c r="AO155" s="729" cm="1">
        <f t="array" ref="AO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_xlfn.XMATCH($B$1,'Talnagögn | Numerical Data'!$1:$1))-1</f>
        <v>-0.4347772386467863</v>
      </c>
      <c r="AQ155" s="725" t="str">
        <f>'Talnagögn | Numerical Data'!$E$32</f>
        <v>Other Emissions</v>
      </c>
      <c r="AR155" s="726" cm="1">
        <f t="array" ref="AR155">INDEX('Talnagögn | Numerical Data'!$1:$1048576,_xlfn.XMATCH($B155,'Talnagögn | Numerical Data'!$B:$B),_xlfn.XMATCH($B$4,'Talnagögn | Numerical Data'!$1:$1))-INDEX('Talnagögn | Numerical Data'!$1:$1048576,_xlfn.XMATCH($A155,'Talnagögn | Numerical Data'!$A:$A),_xlfn.XMATCH($B$2,'Talnagögn | Numerical Data'!$1:$1))</f>
        <v>-417.27001464003888</v>
      </c>
      <c r="AS155" s="728" cm="1">
        <f t="array" ref="AS155">INDEX('Talnagögn | Numerical Data'!$1:$1048576,_xlfn.XMATCH($B155,'Talnagögn | Numerical Data'!$B:$B),_xlfn.XMATCH($B$4,'Talnagögn | Numerical Data'!$1:$1))/INDEX('Talnagögn | Numerical Data'!$1:$1048576,_xlfn.XMATCH($A155,'Talnagögn | Numerical Data'!$A:$A),_xlfn.XMATCH($B$2,'Talnagögn | Numerical Data'!$1:$1))-1</f>
        <v>-0.64500286304282617</v>
      </c>
      <c r="AT155" s="726" cm="1">
        <f t="array" ref="AT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Data'!$A:$A),_xlfn.XMATCH($B$1,'Talnagögn | Numerical Data'!$1:$1))</f>
        <v>-507.84996613740987</v>
      </c>
      <c r="AU155" s="728" cm="1">
        <f t="array" ref="AU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Data'!$A:$A),_xlfn.XMATCH($B$1,'Talnagögn | Numerical Data'!$1:$1))-1</f>
        <v>-0.85378003149368098</v>
      </c>
      <c r="AV155" s="726" t="e" cm="1">
        <f t="array" ref="AV155">INDEX('Talnagögn | Numerical Data'!$1:$1048576,_xlfn.XMATCH($C155,'Talnagögn | Numerical Data'!$B:$B),_xlfn.XMATCH($B$4,'Talnagögn | Numerical Data'!$1:$1))-INDEX('Talnagögn | Numerical Data'!$1:$1048576,_xlfn.XMATCH($A155,'Talnagögn | Numerical Data'!$A:$A),_xlfn.XMATCH($B$2,'Talnagögn | Numerical Data'!$1:$1))</f>
        <v>#N/A</v>
      </c>
      <c r="AW155" s="729" t="e" cm="1">
        <f t="array" ref="AW155">INDEX('Talnagögn | Numerical Data'!$1:$1048576,_xlfn.XMATCH($C155,'Talnagögn | Numerical Data'!$B:$B),_xlfn.XMATCH($B$4,'Talnagögn | Numerical Data'!$1:$1))/INDEX('Talnagögn | Numerical Data'!$1:$1048576,_xlfn.XMATCH($A155,'Talnagögn | Numerical Data'!$A:$A),_xlfn.XMATCH($B$2,'Talnagögn | Numerical Data'!$1:$1))-1</f>
        <v>#N/A</v>
      </c>
      <c r="AX155" s="1271"/>
      <c r="AY155" s="1271"/>
      <c r="AZ155" s="238"/>
      <c r="BA155" s="1272"/>
      <c r="BB155" s="1272"/>
      <c r="BC155" s="238"/>
    </row>
    <row r="156" spans="1:55" s="40" customFormat="1" ht="28.2" customHeight="1" x14ac:dyDescent="0.4">
      <c r="A156" s="4" t="s">
        <v>49</v>
      </c>
      <c r="B156" s="50" t="s">
        <v>272</v>
      </c>
      <c r="C156" s="1038" t="s">
        <v>279</v>
      </c>
      <c r="D156" s="245" t="s">
        <v>48</v>
      </c>
      <c r="E156" s="730" t="s">
        <v>12</v>
      </c>
      <c r="F156" s="731" cm="1">
        <f t="array" ref="F156">INDEX('Talnagögn | Numerical Data'!$1:$1048576, _xlfn.XMATCH($A156,'Talnagögn | Numerical Data'!$A:$A), _xlfn.XMATCH($A$1,'Talnagögn | Numerical Data'!$1:$1))</f>
        <v>4773.3598111341025</v>
      </c>
      <c r="G156" s="732">
        <f t="shared" si="0"/>
        <v>1</v>
      </c>
      <c r="H156" s="731" cm="1">
        <f t="array" ref="H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_xlfn.XMATCH($B$3,'Talnagögn | Numerical Data'!$1:$1))</f>
        <v>129.76980145266771</v>
      </c>
      <c r="I156" s="733" cm="1">
        <f t="array" ref="I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_xlfn.XMATCH($B$3,'Talnagögn | Numerical Data'!$1:$1))-1</f>
        <v>2.7946007546340246E-2</v>
      </c>
      <c r="J156" s="731" cm="1">
        <f t="array" ref="J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_xlfn.XMATCH($B$2,'Talnagögn | Numerical Data'!$1:$1))</f>
        <v>679.15024313882577</v>
      </c>
      <c r="K156" s="736" cm="1">
        <f t="array" ref="K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_xlfn.XMATCH($B$2,'Talnagögn | Numerical Data'!$1:$1))-1</f>
        <v>0.16588067412273921</v>
      </c>
      <c r="L156" s="731" cm="1">
        <f t="array" ref="L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_xlfn.XMATCH($B$1,'Talnagögn | Numerical Data'!$1:$1))</f>
        <v>1117.9853526066468</v>
      </c>
      <c r="M156" s="738" cm="1">
        <f t="array" ref="M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_xlfn.XMATCH($B$1,'Talnagögn | Numerical Data'!$1:$1))-1</f>
        <v>0.30584701110403345</v>
      </c>
      <c r="O156" s="730" t="s">
        <v>12</v>
      </c>
      <c r="P156" s="731" cm="1">
        <f t="array" ref="P156">INDEX('Talnagögn | Numerical Data'!$1:$1048576,_xlfn.XMATCH($B156,'Talnagögn | Numerical Data'!$B:$B),_xlfn.XMATCH($B$4,'Talnagögn | Numerical Data'!$1:$1))-INDEX('Talnagögn | Numerical Data'!$1:$1048576,_xlfn.XMATCH($A156,'Talnagögn | Numerical Data'!$A:$A),_xlfn.XMATCH($B$2,'Talnagögn | Numerical Data'!$1:$1))</f>
        <v>260.49437414885278</v>
      </c>
      <c r="Q156" s="1011" cm="1">
        <f t="array" ref="Q156">INDEX('Talnagögn | Numerical Data'!$1:$1048576,_xlfn.XMATCH($B156,'Talnagögn | Numerical Data'!$B:$B),_xlfn.XMATCH($B$4,'Talnagögn | Numerical Data'!$1:$1))/INDEX('Talnagögn | Numerical Data'!$1:$1048576,_xlfn.XMATCH($A156,'Talnagögn | Numerical Data'!$A:$A),_xlfn.XMATCH($B$2,'Talnagögn | Numerical Data'!$1:$1))-1</f>
        <v>6.3625070925815708E-2</v>
      </c>
      <c r="R156" s="731" cm="1">
        <f t="array" ref="R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Data'!$A:$A),_xlfn.XMATCH($B$1,'Talnagögn | Numerical Data'!$1:$1))</f>
        <v>-735.15715531069782</v>
      </c>
      <c r="S156" s="738" cm="1">
        <f t="array" ref="S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Data'!$A:$A),_xlfn.XMATCH($B$1,'Talnagögn | Numerical Data'!$1:$1))-1</f>
        <v>-0.20111678397152533</v>
      </c>
      <c r="U156" s="134"/>
      <c r="X156" s="134"/>
      <c r="AD156" s="760"/>
      <c r="AG156" s="730" t="s">
        <v>164</v>
      </c>
      <c r="AH156" s="731" cm="1">
        <f t="array" ref="AH156">INDEX('Talnagögn | Numerical Data'!$1:$1048576, _xlfn.XMATCH($A156,'Talnagögn | Numerical Data'!$A:$A), _xlfn.XMATCH($A$1,'Talnagögn | Numerical Data'!$1:$1))</f>
        <v>4773.3598111341025</v>
      </c>
      <c r="AI156" s="732">
        <f t="shared" si="1"/>
        <v>1</v>
      </c>
      <c r="AJ156" s="731" cm="1">
        <f t="array" ref="AJ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_xlfn.XMATCH($B$3,'Talnagögn | Numerical Data'!$1:$1))</f>
        <v>129.76980145266771</v>
      </c>
      <c r="AK156" s="733" cm="1">
        <f t="array" ref="AK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_xlfn.XMATCH($B$3,'Talnagögn | Numerical Data'!$1:$1))-1</f>
        <v>2.7946007546340246E-2</v>
      </c>
      <c r="AL156" s="731" cm="1">
        <f t="array" ref="AL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_xlfn.XMATCH($B$2,'Talnagögn | Numerical Data'!$1:$1))</f>
        <v>679.15024313882577</v>
      </c>
      <c r="AM156" s="736" cm="1">
        <f t="array" ref="AM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_xlfn.XMATCH($B$2,'Talnagögn | Numerical Data'!$1:$1))-1</f>
        <v>0.16588067412273921</v>
      </c>
      <c r="AN156" s="731" cm="1">
        <f t="array" ref="AN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_xlfn.XMATCH($B$1,'Talnagögn | Numerical Data'!$1:$1))</f>
        <v>1117.9853526066468</v>
      </c>
      <c r="AO156" s="738" cm="1">
        <f t="array" ref="AO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_xlfn.XMATCH($B$1,'Talnagögn | Numerical Data'!$1:$1))-1</f>
        <v>0.30584701110403345</v>
      </c>
      <c r="AQ156" s="730" t="s">
        <v>12</v>
      </c>
      <c r="AR156" s="731" cm="1">
        <f t="array" ref="AR156">INDEX('Talnagögn | Numerical Data'!$1:$1048576,_xlfn.XMATCH($B156,'Talnagögn | Numerical Data'!$B:$B),_xlfn.XMATCH($B$4,'Talnagögn | Numerical Data'!$1:$1))-INDEX('Talnagögn | Numerical Data'!$1:$1048576,_xlfn.XMATCH($A156,'Talnagögn | Numerical Data'!$A:$A),_xlfn.XMATCH($B$2,'Talnagögn | Numerical Data'!$1:$1))</f>
        <v>260.49437414885278</v>
      </c>
      <c r="AS156" s="1011" cm="1">
        <f t="array" ref="AS156">INDEX('Talnagögn | Numerical Data'!$1:$1048576,_xlfn.XMATCH($B156,'Talnagögn | Numerical Data'!$B:$B),_xlfn.XMATCH($B$4,'Talnagögn | Numerical Data'!$1:$1))/INDEX('Talnagögn | Numerical Data'!$1:$1048576,_xlfn.XMATCH($A156,'Talnagögn | Numerical Data'!$A:$A),_xlfn.XMATCH($B$2,'Talnagögn | Numerical Data'!$1:$1))-1</f>
        <v>6.3625070925815708E-2</v>
      </c>
      <c r="AT156" s="731" cm="1">
        <f t="array" ref="AT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Data'!$A:$A),_xlfn.XMATCH($B$1,'Talnagögn | Numerical Data'!$1:$1))</f>
        <v>-735.15715531069782</v>
      </c>
      <c r="AU156" s="736" cm="1">
        <f t="array" ref="AU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Data'!$A:$A),_xlfn.XMATCH($B$1,'Talnagögn | Numerical Data'!$1:$1))-1</f>
        <v>-0.20111678397152533</v>
      </c>
      <c r="AV156" s="731" t="e" cm="1">
        <f t="array" ref="AV156">INDEX('Talnagögn | Numerical Data'!$1:$1048576,_xlfn.XMATCH($C156,'Talnagögn | Numerical Data'!$B:$B),_xlfn.XMATCH($B$4,'Talnagögn | Numerical Data'!$1:$1))-INDEX('Talnagögn | Numerical Data'!$1:$1048576,_xlfn.XMATCH($A156,'Talnagögn | Numerical Data'!$A:$A),_xlfn.XMATCH($B$2,'Talnagögn | Numerical Data'!$1:$1))</f>
        <v>#N/A</v>
      </c>
      <c r="AW156" s="734" t="e" cm="1">
        <f t="array" ref="AW156">INDEX('Talnagögn | Numerical Data'!$1:$1048576,_xlfn.XMATCH($C156,'Talnagögn | Numerical Data'!$B:$B),_xlfn.XMATCH($B$4,'Talnagögn | Numerical Data'!$1:$1))/INDEX('Talnagögn | Numerical Data'!$1:$1048576,_xlfn.XMATCH($A156,'Talnagögn | Numerical Data'!$A:$A),_xlfn.XMATCH($B$2,'Talnagögn | Numerical Data'!$1:$1))-1</f>
        <v>#N/A</v>
      </c>
      <c r="AX156" s="1273"/>
      <c r="AY156" s="1273"/>
      <c r="AZ156" s="230"/>
      <c r="BA156" s="1273"/>
      <c r="BB156" s="1273"/>
      <c r="BC156" s="230"/>
    </row>
    <row r="157" spans="1:55" s="40" customFormat="1" ht="13.5" customHeight="1" x14ac:dyDescent="0.4">
      <c r="A157" s="1035" t="str">
        <f>"Losun Íslands "&amp;$A$1</f>
        <v>Losun Íslands 2024</v>
      </c>
      <c r="B157" s="1035" t="str">
        <f>"Iceland's Emissions in "&amp;$A$1</f>
        <v>Iceland's Emissions in 2024</v>
      </c>
      <c r="C157" s="1040" t="s">
        <v>48</v>
      </c>
      <c r="D157" s="245" t="s">
        <v>48</v>
      </c>
      <c r="E157" s="246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761"/>
      <c r="X157" s="747"/>
      <c r="Y157" s="747"/>
      <c r="Z157" s="747"/>
      <c r="AA157" s="747"/>
      <c r="AB157" s="747"/>
      <c r="AC157" s="747"/>
      <c r="AD157" s="766"/>
      <c r="AE157" s="233"/>
      <c r="AF157" s="233"/>
      <c r="AH157" s="747"/>
      <c r="AI157" s="747"/>
      <c r="AJ157" s="747"/>
      <c r="AK157" s="749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</row>
    <row r="158" spans="1:55" s="40" customFormat="1" ht="13.5" customHeight="1" x14ac:dyDescent="0.4">
      <c r="A158" s="50"/>
      <c r="B158" s="1040"/>
      <c r="C158" s="1040"/>
      <c r="D158" s="245"/>
      <c r="E158" s="246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761"/>
      <c r="X158" s="747"/>
      <c r="Y158" s="747"/>
      <c r="Z158" s="747"/>
      <c r="AA158" s="747"/>
      <c r="AB158" s="747"/>
      <c r="AC158" s="747"/>
      <c r="AD158" s="766"/>
      <c r="AE158" s="233"/>
      <c r="AF158" s="233"/>
      <c r="AH158" s="747"/>
      <c r="AI158" s="747"/>
      <c r="AJ158" s="747"/>
      <c r="AK158" s="749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</row>
    <row r="159" spans="1:55" x14ac:dyDescent="0.4">
      <c r="B159" s="1038" t="s">
        <v>48</v>
      </c>
    </row>
    <row r="181" spans="1:55" s="744" customFormat="1" ht="27" customHeight="1" x14ac:dyDescent="0.4">
      <c r="A181" s="1041"/>
      <c r="B181" s="1041"/>
      <c r="C181" s="1041"/>
      <c r="E181" s="744" t="str">
        <f>$E$50</f>
        <v>SÖGULEG LOSUN</v>
      </c>
      <c r="F181" s="745"/>
      <c r="G181" s="745"/>
      <c r="H181" s="745"/>
      <c r="I181" s="745"/>
      <c r="J181" s="745"/>
      <c r="K181" s="745"/>
      <c r="L181" s="745"/>
      <c r="M181" s="745"/>
      <c r="N181" s="745"/>
      <c r="O181" s="745"/>
      <c r="P181" s="745"/>
      <c r="Q181" s="745"/>
      <c r="R181" s="745"/>
      <c r="S181" s="745"/>
      <c r="T181" s="745"/>
      <c r="U181" s="745"/>
      <c r="V181" s="745"/>
      <c r="W181" s="745"/>
      <c r="X181" s="745"/>
      <c r="Y181" s="745"/>
      <c r="Z181" s="745"/>
      <c r="AA181" s="745"/>
      <c r="AB181" s="745"/>
      <c r="AC181" s="745"/>
      <c r="AD181" s="764"/>
      <c r="AG181" s="744" t="s">
        <v>168</v>
      </c>
      <c r="AH181" s="745"/>
      <c r="AI181" s="745"/>
      <c r="AJ181" s="745"/>
      <c r="AK181" s="745"/>
      <c r="AL181" s="745"/>
      <c r="AM181" s="745"/>
      <c r="AN181" s="745"/>
      <c r="AO181" s="745"/>
      <c r="AP181" s="745"/>
      <c r="AQ181" s="745"/>
      <c r="AR181" s="745"/>
      <c r="AS181" s="745"/>
      <c r="AT181" s="745"/>
      <c r="AU181" s="745"/>
      <c r="AV181" s="745"/>
      <c r="AW181" s="745"/>
      <c r="AX181" s="745"/>
      <c r="AY181" s="745"/>
      <c r="AZ181" s="745"/>
      <c r="BA181" s="745"/>
      <c r="BB181" s="745"/>
      <c r="BC181" s="745"/>
    </row>
    <row r="182" spans="1:55" s="40" customFormat="1" ht="13.35" customHeight="1" x14ac:dyDescent="0.4">
      <c r="A182" s="50"/>
      <c r="B182" s="1038"/>
      <c r="C182" s="1038"/>
      <c r="D182" s="245" t="s">
        <v>48</v>
      </c>
      <c r="E182" s="246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761"/>
      <c r="X182" s="747"/>
      <c r="Y182" s="747"/>
      <c r="Z182" s="747"/>
      <c r="AA182" s="747"/>
      <c r="AB182" s="747"/>
      <c r="AC182" s="747"/>
      <c r="AD182" s="766"/>
      <c r="AE182" s="233"/>
      <c r="AF182" s="233"/>
      <c r="AG182" s="233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</row>
    <row r="183" spans="1:55" ht="15" customHeight="1" x14ac:dyDescent="0.4">
      <c r="D183" s="245" t="s">
        <v>48</v>
      </c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37"/>
      <c r="X183" s="763"/>
      <c r="Y183" s="763"/>
      <c r="Z183" s="763"/>
      <c r="AA183" s="763"/>
      <c r="AB183" s="763"/>
      <c r="AC183" s="763"/>
      <c r="AD183" s="768"/>
      <c r="AE183" s="250"/>
      <c r="AF183" s="250"/>
      <c r="AG183" s="250"/>
    </row>
    <row r="184" spans="1:55" s="40" customFormat="1" ht="13.35" customHeight="1" x14ac:dyDescent="0.4">
      <c r="A184" s="50"/>
      <c r="B184" s="1038"/>
      <c r="C184" s="1038"/>
      <c r="D184" s="245" t="s">
        <v>48</v>
      </c>
      <c r="E184" s="246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761"/>
      <c r="X184" s="747"/>
      <c r="Y184" s="747"/>
      <c r="Z184" s="747"/>
      <c r="AA184" s="747"/>
      <c r="AB184" s="747"/>
      <c r="AC184" s="747"/>
      <c r="AD184" s="766"/>
      <c r="AE184" s="233"/>
      <c r="AF184" s="233"/>
      <c r="AG184" s="233"/>
      <c r="AH184" s="397"/>
      <c r="AI184" s="397"/>
      <c r="AJ184" s="397"/>
      <c r="AK184" s="397"/>
      <c r="AL184" s="397"/>
      <c r="AM184" s="397"/>
      <c r="AN184" s="397"/>
      <c r="AO184" s="397"/>
      <c r="AP184" s="397"/>
      <c r="AQ184" s="397"/>
      <c r="AR184" s="397"/>
      <c r="AS184" s="397"/>
      <c r="AT184" s="397"/>
      <c r="AU184" s="397"/>
      <c r="AV184" s="397"/>
      <c r="AW184" s="397"/>
      <c r="AX184" s="397"/>
      <c r="AY184" s="397"/>
      <c r="AZ184" s="397"/>
      <c r="BA184" s="397"/>
      <c r="BB184" s="397"/>
      <c r="BC184" s="397"/>
    </row>
    <row r="185" spans="1:55" s="40" customFormat="1" ht="13.5" customHeight="1" x14ac:dyDescent="0.4">
      <c r="A185" s="50"/>
      <c r="B185" s="1038"/>
      <c r="C185" s="1038"/>
      <c r="D185" s="245" t="s">
        <v>48</v>
      </c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397"/>
      <c r="S185" s="397"/>
      <c r="T185" s="397"/>
      <c r="U185" s="397"/>
      <c r="V185" s="397"/>
      <c r="W185" s="397"/>
      <c r="X185" s="397"/>
      <c r="Y185" s="397"/>
      <c r="Z185" s="397"/>
      <c r="AA185" s="397"/>
      <c r="AB185" s="397"/>
      <c r="AC185" s="397"/>
      <c r="AD185" s="762"/>
      <c r="AH185" s="397"/>
      <c r="AI185" s="397"/>
      <c r="AJ185" s="397"/>
      <c r="AK185" s="397"/>
      <c r="AL185" s="397"/>
      <c r="AM185" s="397"/>
      <c r="AN185" s="397"/>
      <c r="AO185" s="397"/>
      <c r="AP185" s="397"/>
      <c r="AQ185" s="397"/>
      <c r="AR185" s="397"/>
      <c r="AS185" s="397"/>
      <c r="AT185" s="397"/>
      <c r="AU185" s="397"/>
      <c r="AV185" s="397"/>
      <c r="AW185" s="397"/>
      <c r="AX185" s="397"/>
      <c r="AY185" s="397"/>
      <c r="AZ185" s="397"/>
      <c r="BA185" s="397"/>
      <c r="BB185" s="397"/>
      <c r="BC185" s="397"/>
    </row>
    <row r="186" spans="1:55" s="40" customFormat="1" ht="13.5" customHeight="1" x14ac:dyDescent="0.4">
      <c r="A186" s="50"/>
      <c r="B186" s="1040"/>
      <c r="C186" s="1040"/>
      <c r="D186" s="245" t="s">
        <v>48</v>
      </c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762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</row>
    <row r="187" spans="1:55" s="40" customFormat="1" ht="13.5" customHeight="1" x14ac:dyDescent="0.4">
      <c r="A187" s="50"/>
      <c r="B187" s="1040"/>
      <c r="C187" s="1040"/>
      <c r="D187" s="245" t="s">
        <v>48</v>
      </c>
      <c r="E187" s="246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762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</row>
    <row r="188" spans="1:55" s="40" customFormat="1" ht="13.5" customHeight="1" x14ac:dyDescent="0.4">
      <c r="A188" s="50"/>
      <c r="B188" s="1040"/>
      <c r="C188" s="1040"/>
      <c r="D188" s="245" t="s">
        <v>48</v>
      </c>
      <c r="E188" s="246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762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</row>
    <row r="189" spans="1:55" s="40" customFormat="1" ht="13.5" customHeight="1" x14ac:dyDescent="0.4">
      <c r="A189" s="50"/>
      <c r="B189" s="1040"/>
      <c r="C189" s="1040"/>
      <c r="D189" s="245" t="s">
        <v>48</v>
      </c>
      <c r="E189" s="246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762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</row>
    <row r="190" spans="1:55" s="40" customFormat="1" ht="13.5" customHeight="1" x14ac:dyDescent="0.4">
      <c r="A190" s="50"/>
      <c r="B190" s="1040"/>
      <c r="C190" s="1040"/>
      <c r="D190" s="245" t="s">
        <v>48</v>
      </c>
      <c r="E190" s="246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762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</row>
    <row r="191" spans="1:55" s="40" customFormat="1" ht="13.5" customHeight="1" x14ac:dyDescent="0.4">
      <c r="A191" s="50"/>
      <c r="B191" s="1040"/>
      <c r="C191" s="1040"/>
      <c r="D191" s="245" t="s">
        <v>48</v>
      </c>
      <c r="E191" s="246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762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</row>
    <row r="192" spans="1:55" s="40" customFormat="1" ht="13.5" customHeight="1" x14ac:dyDescent="0.4">
      <c r="A192" s="50"/>
      <c r="B192" s="1040"/>
      <c r="C192" s="1040"/>
      <c r="D192" s="245" t="s">
        <v>48</v>
      </c>
      <c r="E192" s="246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762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</row>
    <row r="193" spans="1:55" s="40" customFormat="1" ht="13.5" customHeight="1" x14ac:dyDescent="0.4">
      <c r="A193" s="50"/>
      <c r="B193" s="1040"/>
      <c r="C193" s="1040"/>
      <c r="D193" s="245" t="s">
        <v>48</v>
      </c>
      <c r="E193" s="246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762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</row>
    <row r="194" spans="1:55" s="40" customFormat="1" ht="13.5" customHeight="1" x14ac:dyDescent="0.4">
      <c r="A194" s="50"/>
      <c r="B194" s="1040"/>
      <c r="C194" s="1040"/>
      <c r="D194" s="245" t="s">
        <v>48</v>
      </c>
      <c r="E194" s="246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762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</row>
    <row r="195" spans="1:55" s="40" customFormat="1" ht="13.5" customHeight="1" x14ac:dyDescent="0.4">
      <c r="A195" s="50"/>
      <c r="B195" s="1040"/>
      <c r="C195" s="1040"/>
      <c r="D195" s="245" t="s">
        <v>48</v>
      </c>
      <c r="E195" s="246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762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</row>
    <row r="196" spans="1:55" s="40" customFormat="1" ht="13.5" customHeight="1" x14ac:dyDescent="0.4">
      <c r="A196" s="50"/>
      <c r="B196" s="1040"/>
      <c r="C196" s="1040"/>
      <c r="D196" s="245" t="s">
        <v>48</v>
      </c>
      <c r="E196" s="246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762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</row>
    <row r="197" spans="1:55" s="40" customFormat="1" ht="13.5" customHeight="1" x14ac:dyDescent="0.4">
      <c r="A197" s="50"/>
      <c r="B197" s="1040"/>
      <c r="C197" s="1040"/>
      <c r="D197" s="245" t="s">
        <v>48</v>
      </c>
      <c r="E197" s="246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762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</row>
    <row r="198" spans="1:55" s="40" customFormat="1" ht="13.5" customHeight="1" x14ac:dyDescent="0.4">
      <c r="A198" s="50"/>
      <c r="B198" s="1040"/>
      <c r="C198" s="1040"/>
      <c r="D198" s="245" t="s">
        <v>48</v>
      </c>
      <c r="E198" s="246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762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</row>
    <row r="199" spans="1:55" s="40" customFormat="1" ht="13.5" customHeight="1" x14ac:dyDescent="0.4">
      <c r="A199" s="50"/>
      <c r="B199" s="1040"/>
      <c r="C199" s="1040"/>
      <c r="D199" s="245" t="s">
        <v>48</v>
      </c>
      <c r="E199" s="246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762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</row>
    <row r="200" spans="1:55" s="40" customFormat="1" ht="13.5" customHeight="1" x14ac:dyDescent="0.4">
      <c r="A200" s="50"/>
      <c r="B200" s="1040"/>
      <c r="C200" s="1040"/>
      <c r="D200" s="245" t="s">
        <v>48</v>
      </c>
      <c r="E200" s="246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762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</row>
    <row r="201" spans="1:55" s="40" customFormat="1" ht="13.5" customHeight="1" x14ac:dyDescent="0.4">
      <c r="A201" s="50"/>
      <c r="B201" s="1040"/>
      <c r="C201" s="1040"/>
      <c r="D201" s="245" t="s">
        <v>48</v>
      </c>
      <c r="E201" s="246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761"/>
      <c r="X201" s="747"/>
      <c r="Y201" s="747"/>
      <c r="Z201" s="747"/>
      <c r="AA201" s="747"/>
      <c r="AB201" s="747"/>
      <c r="AC201" s="747"/>
      <c r="AD201" s="766"/>
      <c r="AE201" s="233"/>
      <c r="AF201" s="233"/>
      <c r="AG201" s="233"/>
      <c r="AH201" s="747"/>
      <c r="AI201" s="747"/>
      <c r="AJ201" s="747"/>
      <c r="AK201" s="749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</row>
    <row r="202" spans="1:55" s="40" customFormat="1" ht="13.5" customHeight="1" x14ac:dyDescent="0.4">
      <c r="A202" s="50"/>
      <c r="B202" s="1040"/>
      <c r="C202" s="1040"/>
      <c r="D202" s="245" t="s">
        <v>48</v>
      </c>
      <c r="E202" s="246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761"/>
      <c r="X202" s="747"/>
      <c r="Y202" s="747"/>
      <c r="Z202" s="747"/>
      <c r="AA202" s="747"/>
      <c r="AB202" s="747"/>
      <c r="AC202" s="747"/>
      <c r="AD202" s="766"/>
      <c r="AE202" s="233"/>
      <c r="AF202" s="233"/>
      <c r="AG202" s="233"/>
      <c r="AH202" s="747"/>
      <c r="AI202" s="747"/>
      <c r="AJ202" s="747"/>
      <c r="AK202" s="749"/>
      <c r="AL202" s="397"/>
      <c r="AM202" s="397"/>
      <c r="AN202" s="397"/>
      <c r="AO202" s="397"/>
      <c r="AP202" s="397"/>
      <c r="AQ202" s="397"/>
      <c r="AR202" s="397"/>
      <c r="AS202" s="397"/>
      <c r="AT202" s="397"/>
      <c r="AU202" s="397"/>
      <c r="AV202" s="397"/>
      <c r="AW202" s="397"/>
      <c r="AX202" s="397"/>
      <c r="AY202" s="397"/>
      <c r="AZ202" s="397"/>
      <c r="BA202" s="397"/>
      <c r="BB202" s="397"/>
      <c r="BC202" s="397"/>
    </row>
    <row r="203" spans="1:55" s="40" customFormat="1" ht="13.5" customHeight="1" x14ac:dyDescent="0.4">
      <c r="A203" s="50"/>
      <c r="B203" s="1040"/>
      <c r="C203" s="1040"/>
      <c r="D203" s="245" t="s">
        <v>48</v>
      </c>
      <c r="E203" s="246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761"/>
      <c r="X203" s="747"/>
      <c r="Y203" s="747"/>
      <c r="Z203" s="747"/>
      <c r="AA203" s="747"/>
      <c r="AB203" s="747"/>
      <c r="AC203" s="747"/>
      <c r="AD203" s="766"/>
      <c r="AE203" s="233"/>
      <c r="AF203" s="233"/>
      <c r="AG203" s="233"/>
      <c r="AH203" s="747"/>
      <c r="AI203" s="747"/>
      <c r="AJ203" s="747"/>
      <c r="AK203" s="749"/>
      <c r="AL203" s="397"/>
      <c r="AM203" s="397"/>
      <c r="AN203" s="397"/>
      <c r="AO203" s="397"/>
      <c r="AP203" s="397"/>
      <c r="AQ203" s="397"/>
      <c r="AR203" s="397"/>
      <c r="AS203" s="397"/>
      <c r="AT203" s="397"/>
      <c r="AU203" s="397"/>
      <c r="AV203" s="397"/>
      <c r="AW203" s="397"/>
      <c r="AX203" s="397"/>
      <c r="AY203" s="397"/>
      <c r="AZ203" s="397"/>
      <c r="BA203" s="397"/>
      <c r="BB203" s="397"/>
      <c r="BC203" s="397"/>
    </row>
    <row r="204" spans="1:55" s="40" customFormat="1" ht="13.5" customHeight="1" x14ac:dyDescent="0.4">
      <c r="A204" s="50"/>
      <c r="B204" s="1040"/>
      <c r="C204" s="1040"/>
      <c r="D204" s="245" t="s">
        <v>48</v>
      </c>
      <c r="E204" s="246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761"/>
      <c r="X204" s="747"/>
      <c r="Y204" s="747"/>
      <c r="Z204" s="747"/>
      <c r="AA204" s="747"/>
      <c r="AB204" s="747"/>
      <c r="AC204" s="747"/>
      <c r="AD204" s="766"/>
      <c r="AE204" s="233"/>
      <c r="AF204" s="233"/>
      <c r="AG204" s="233"/>
      <c r="AH204" s="747"/>
      <c r="AI204" s="747"/>
      <c r="AJ204" s="747"/>
      <c r="AK204" s="749"/>
      <c r="AL204" s="397"/>
      <c r="AM204" s="397"/>
      <c r="AN204" s="397"/>
      <c r="AO204" s="397"/>
      <c r="AP204" s="397"/>
      <c r="AQ204" s="397"/>
      <c r="AR204" s="397"/>
      <c r="AS204" s="397"/>
      <c r="AT204" s="397"/>
      <c r="AU204" s="397"/>
      <c r="AV204" s="397"/>
      <c r="AW204" s="397"/>
      <c r="AX204" s="397"/>
      <c r="AY204" s="397"/>
      <c r="AZ204" s="397"/>
      <c r="BA204" s="397"/>
      <c r="BB204" s="397"/>
      <c r="BC204" s="397"/>
    </row>
    <row r="205" spans="1:55" s="40" customFormat="1" ht="13.5" customHeight="1" x14ac:dyDescent="0.4">
      <c r="A205" s="50"/>
      <c r="B205" s="1040"/>
      <c r="C205" s="1040"/>
      <c r="D205" s="245" t="s">
        <v>48</v>
      </c>
      <c r="E205" s="246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761"/>
      <c r="X205" s="747"/>
      <c r="Y205" s="747"/>
      <c r="Z205" s="747"/>
      <c r="AA205" s="747"/>
      <c r="AB205" s="747"/>
      <c r="AC205" s="747"/>
      <c r="AD205" s="766"/>
      <c r="AE205" s="233"/>
      <c r="AF205" s="233"/>
      <c r="AG205" s="233"/>
      <c r="AH205" s="747"/>
      <c r="AI205" s="747"/>
      <c r="AJ205" s="747"/>
      <c r="AK205" s="749"/>
      <c r="AL205" s="397"/>
      <c r="AM205" s="397"/>
      <c r="AN205" s="397"/>
      <c r="AO205" s="397"/>
      <c r="AP205" s="397"/>
      <c r="AQ205" s="397"/>
      <c r="AR205" s="397"/>
      <c r="AS205" s="397"/>
      <c r="AT205" s="397"/>
      <c r="AU205" s="397"/>
      <c r="AV205" s="397"/>
      <c r="AW205" s="397"/>
      <c r="AX205" s="397"/>
      <c r="AY205" s="397"/>
      <c r="AZ205" s="397"/>
      <c r="BA205" s="397"/>
      <c r="BB205" s="397"/>
      <c r="BC205" s="397"/>
    </row>
    <row r="206" spans="1:55" s="40" customFormat="1" ht="13.5" customHeight="1" x14ac:dyDescent="0.4">
      <c r="A206" s="50"/>
      <c r="B206" s="1040"/>
      <c r="C206" s="1040"/>
      <c r="D206" s="245" t="s">
        <v>48</v>
      </c>
      <c r="E206" s="246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761"/>
      <c r="X206" s="747"/>
      <c r="Y206" s="747"/>
      <c r="Z206" s="747"/>
      <c r="AA206" s="747"/>
      <c r="AB206" s="747"/>
      <c r="AC206" s="747"/>
      <c r="AD206" s="766"/>
      <c r="AE206" s="233"/>
      <c r="AF206" s="233"/>
      <c r="AG206" s="233"/>
      <c r="AH206" s="747"/>
      <c r="AI206" s="747"/>
      <c r="AJ206" s="747"/>
      <c r="AK206" s="749"/>
      <c r="AL206" s="397"/>
      <c r="AM206" s="397"/>
      <c r="AN206" s="397"/>
      <c r="AO206" s="397"/>
      <c r="AP206" s="397"/>
      <c r="AQ206" s="397"/>
      <c r="AR206" s="397"/>
      <c r="AS206" s="397"/>
      <c r="AT206" s="397"/>
      <c r="AU206" s="397"/>
      <c r="AV206" s="397"/>
      <c r="AW206" s="397"/>
      <c r="AX206" s="397"/>
      <c r="AY206" s="397"/>
      <c r="AZ206" s="397"/>
      <c r="BA206" s="397"/>
      <c r="BB206" s="397"/>
      <c r="BC206" s="397"/>
    </row>
    <row r="207" spans="1:55" s="40" customFormat="1" ht="13.5" customHeight="1" x14ac:dyDescent="0.4">
      <c r="A207" s="50"/>
      <c r="B207" s="1040"/>
      <c r="C207" s="1040"/>
      <c r="D207" s="245" t="s">
        <v>48</v>
      </c>
      <c r="E207" s="246"/>
      <c r="F207" s="228"/>
      <c r="G207" s="228"/>
      <c r="H207" s="228"/>
      <c r="I207" s="228"/>
      <c r="J207" s="228"/>
      <c r="K207" s="228"/>
      <c r="L207" s="228"/>
      <c r="M207" s="228"/>
      <c r="N207" s="397"/>
      <c r="O207" s="228"/>
      <c r="P207" s="228"/>
      <c r="Q207" s="228"/>
      <c r="R207" s="228"/>
      <c r="S207" s="228"/>
      <c r="T207" s="228"/>
      <c r="U207" s="228"/>
      <c r="V207" s="228"/>
      <c r="W207" s="761"/>
      <c r="X207" s="747"/>
      <c r="Y207" s="747"/>
      <c r="Z207" s="747"/>
      <c r="AA207" s="747"/>
      <c r="AB207" s="747"/>
      <c r="AC207" s="747"/>
      <c r="AD207" s="766"/>
      <c r="AE207" s="233"/>
      <c r="AF207" s="233"/>
      <c r="AG207" s="233"/>
      <c r="AH207" s="747"/>
      <c r="AI207" s="747"/>
      <c r="AJ207" s="747"/>
      <c r="AK207" s="749"/>
      <c r="AL207" s="397"/>
      <c r="AM207" s="397"/>
      <c r="AN207" s="397"/>
      <c r="AO207" s="397"/>
      <c r="AP207" s="397"/>
      <c r="AQ207" s="397"/>
      <c r="AR207" s="397"/>
      <c r="AS207" s="397"/>
      <c r="AT207" s="397"/>
      <c r="AU207" s="397"/>
      <c r="AV207" s="397"/>
      <c r="AW207" s="397"/>
      <c r="AX207" s="397"/>
      <c r="AY207" s="397"/>
      <c r="AZ207" s="397"/>
      <c r="BA207" s="397"/>
      <c r="BB207" s="397"/>
      <c r="BC207" s="397"/>
    </row>
    <row r="208" spans="1:55" s="40" customFormat="1" ht="13.2" customHeight="1" x14ac:dyDescent="0.4">
      <c r="A208" s="50"/>
      <c r="B208" s="1040"/>
      <c r="C208" s="1040"/>
      <c r="D208" s="245" t="s">
        <v>48</v>
      </c>
      <c r="E208" s="246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761"/>
      <c r="X208" s="747"/>
      <c r="Y208" s="747"/>
      <c r="Z208" s="747"/>
      <c r="AA208" s="747"/>
      <c r="AB208" s="747"/>
      <c r="AC208" s="747"/>
      <c r="AD208" s="766"/>
      <c r="AE208" s="233"/>
      <c r="AF208" s="233"/>
      <c r="AG208" s="233"/>
      <c r="AH208" s="747"/>
      <c r="AI208" s="747"/>
      <c r="AJ208" s="747"/>
      <c r="AK208" s="749"/>
      <c r="AL208" s="397"/>
      <c r="AM208" s="397"/>
      <c r="AN208" s="397"/>
      <c r="AO208" s="397"/>
      <c r="AP208" s="397"/>
      <c r="AQ208" s="397"/>
      <c r="AR208" s="397"/>
      <c r="AS208" s="397"/>
      <c r="AT208" s="397"/>
      <c r="AU208" s="397"/>
      <c r="AV208" s="397"/>
      <c r="AW208" s="397"/>
      <c r="AX208" s="397"/>
      <c r="AY208" s="397"/>
      <c r="AZ208" s="397"/>
      <c r="BA208" s="397"/>
      <c r="BB208" s="397"/>
      <c r="BC208" s="397"/>
    </row>
    <row r="209" spans="1:55" s="40" customFormat="1" ht="13.5" customHeight="1" x14ac:dyDescent="0.4">
      <c r="A209" s="50"/>
      <c r="B209" s="1040"/>
      <c r="C209" s="1040"/>
      <c r="D209" s="245" t="s">
        <v>48</v>
      </c>
      <c r="E209" s="246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761"/>
      <c r="X209" s="747"/>
      <c r="Y209" s="747"/>
      <c r="Z209" s="747"/>
      <c r="AA209" s="747"/>
      <c r="AB209" s="747"/>
      <c r="AC209" s="747"/>
      <c r="AD209" s="766"/>
      <c r="AE209" s="233"/>
      <c r="AF209" s="233"/>
      <c r="AG209" s="233"/>
      <c r="AH209" s="747"/>
      <c r="AI209" s="747"/>
      <c r="AJ209" s="747"/>
      <c r="AK209" s="749"/>
      <c r="AL209" s="397"/>
      <c r="AM209" s="397"/>
      <c r="AN209" s="397"/>
      <c r="AO209" s="397"/>
      <c r="AP209" s="397"/>
      <c r="AQ209" s="397"/>
      <c r="AR209" s="397"/>
      <c r="AS209" s="397"/>
      <c r="AT209" s="397"/>
      <c r="AU209" s="397"/>
      <c r="AV209" s="397"/>
      <c r="AW209" s="397"/>
      <c r="AX209" s="397"/>
      <c r="AY209" s="397"/>
      <c r="AZ209" s="397"/>
      <c r="BA209" s="397"/>
      <c r="BB209" s="397"/>
      <c r="BC209" s="397"/>
    </row>
    <row r="210" spans="1:55" s="40" customFormat="1" ht="13.5" customHeight="1" x14ac:dyDescent="0.4">
      <c r="A210" s="50"/>
      <c r="B210" s="1040"/>
      <c r="C210" s="1040"/>
      <c r="D210" s="245" t="s">
        <v>48</v>
      </c>
      <c r="E210" s="246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761"/>
      <c r="X210" s="747"/>
      <c r="Y210" s="747"/>
      <c r="Z210" s="747"/>
      <c r="AA210" s="747"/>
      <c r="AB210" s="747"/>
      <c r="AC210" s="747"/>
      <c r="AD210" s="766"/>
      <c r="AE210" s="233"/>
      <c r="AF210" s="233"/>
      <c r="AG210" s="233"/>
      <c r="AH210" s="747"/>
      <c r="AI210" s="747"/>
      <c r="AJ210" s="747"/>
      <c r="AK210" s="749"/>
      <c r="AL210" s="397"/>
      <c r="AM210" s="397"/>
      <c r="AN210" s="397"/>
      <c r="AO210" s="397"/>
      <c r="AP210" s="397"/>
      <c r="AQ210" s="397"/>
      <c r="AR210" s="397"/>
      <c r="AS210" s="397"/>
      <c r="AT210" s="397"/>
      <c r="AU210" s="397"/>
      <c r="AV210" s="397"/>
      <c r="AW210" s="397"/>
      <c r="AX210" s="397"/>
      <c r="AY210" s="397"/>
      <c r="AZ210" s="397"/>
      <c r="BA210" s="397"/>
      <c r="BB210" s="397"/>
      <c r="BC210" s="397"/>
    </row>
    <row r="211" spans="1:55" s="744" customFormat="1" ht="27" customHeight="1" x14ac:dyDescent="0.4">
      <c r="A211" s="1041"/>
      <c r="B211" s="1041"/>
      <c r="C211" s="1041"/>
      <c r="E211" s="744" t="s">
        <v>265</v>
      </c>
      <c r="F211" s="745"/>
      <c r="G211" s="745"/>
      <c r="H211" s="745"/>
      <c r="I211" s="745"/>
      <c r="J211" s="745"/>
      <c r="K211" s="745"/>
      <c r="L211" s="745"/>
      <c r="M211" s="745"/>
      <c r="N211" s="745"/>
      <c r="O211" s="745"/>
      <c r="P211" s="745"/>
      <c r="Q211" s="745"/>
      <c r="R211" s="745"/>
      <c r="S211" s="745"/>
      <c r="T211" s="745"/>
      <c r="U211" s="745"/>
      <c r="V211" s="745"/>
      <c r="W211" s="745"/>
      <c r="X211" s="745"/>
      <c r="Y211" s="745"/>
      <c r="Z211" s="745"/>
      <c r="AA211" s="745"/>
      <c r="AB211" s="745"/>
      <c r="AC211" s="745"/>
      <c r="AD211" s="764"/>
      <c r="AG211" s="744" t="s">
        <v>350</v>
      </c>
      <c r="AH211" s="745"/>
      <c r="AI211" s="745"/>
      <c r="AJ211" s="745"/>
      <c r="AK211" s="745"/>
      <c r="AL211" s="745"/>
      <c r="AM211" s="745"/>
      <c r="AN211" s="745"/>
      <c r="AO211" s="745"/>
      <c r="AP211" s="745"/>
      <c r="AQ211" s="745"/>
      <c r="AR211" s="745"/>
      <c r="AS211" s="745"/>
      <c r="AT211" s="745"/>
      <c r="AU211" s="745"/>
      <c r="AV211" s="745"/>
      <c r="AW211" s="745"/>
      <c r="AX211" s="745"/>
      <c r="AY211" s="745"/>
      <c r="AZ211" s="745"/>
      <c r="BA211" s="745"/>
      <c r="BB211" s="745"/>
      <c r="BC211" s="745"/>
    </row>
    <row r="212" spans="1:55" s="40" customFormat="1" ht="13.5" customHeight="1" x14ac:dyDescent="0.4">
      <c r="A212" s="50"/>
      <c r="B212" s="1040"/>
      <c r="C212" s="1040"/>
      <c r="D212" s="245" t="s">
        <v>48</v>
      </c>
      <c r="E212" s="246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761"/>
      <c r="X212" s="747"/>
      <c r="Y212" s="747"/>
      <c r="Z212" s="747"/>
      <c r="AA212" s="747"/>
      <c r="AB212" s="747"/>
      <c r="AC212" s="747"/>
      <c r="AD212" s="766"/>
      <c r="AE212" s="233"/>
      <c r="AF212" s="233"/>
      <c r="AG212" s="233"/>
      <c r="AH212" s="747"/>
      <c r="AI212" s="747"/>
      <c r="AJ212" s="747"/>
      <c r="AK212" s="749"/>
      <c r="AL212" s="397"/>
      <c r="AM212" s="397"/>
      <c r="AN212" s="397"/>
      <c r="AO212" s="397"/>
      <c r="AP212" s="397"/>
      <c r="AQ212" s="397"/>
      <c r="AR212" s="397"/>
      <c r="AS212" s="397"/>
      <c r="AT212" s="397"/>
      <c r="AU212" s="397"/>
      <c r="AV212" s="397"/>
      <c r="AW212" s="397"/>
      <c r="AX212" s="397"/>
      <c r="AY212" s="397"/>
      <c r="AZ212" s="397"/>
      <c r="BA212" s="397"/>
      <c r="BB212" s="397"/>
      <c r="BC212" s="397"/>
    </row>
    <row r="213" spans="1:55" s="40" customFormat="1" ht="13.5" customHeight="1" x14ac:dyDescent="0.4">
      <c r="A213" s="50"/>
      <c r="B213" s="1040"/>
      <c r="C213" s="1040"/>
      <c r="D213" s="245"/>
      <c r="E213" s="246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761"/>
      <c r="X213" s="747"/>
      <c r="Y213" s="747"/>
      <c r="Z213" s="747"/>
      <c r="AA213" s="747"/>
      <c r="AB213" s="747"/>
      <c r="AC213" s="747"/>
      <c r="AD213" s="766"/>
      <c r="AE213" s="233"/>
      <c r="AF213" s="233"/>
      <c r="AG213" s="233"/>
      <c r="AH213" s="747"/>
      <c r="AI213" s="747"/>
      <c r="AJ213" s="747"/>
      <c r="AK213" s="749"/>
      <c r="AL213" s="397"/>
      <c r="AM213" s="397"/>
      <c r="AN213" s="397"/>
      <c r="AO213" s="397"/>
      <c r="AP213" s="397"/>
      <c r="AQ213" s="397"/>
      <c r="AR213" s="397"/>
      <c r="AS213" s="397"/>
      <c r="AT213" s="397"/>
      <c r="AU213" s="397"/>
      <c r="AV213" s="397"/>
      <c r="AW213" s="397"/>
      <c r="AX213" s="397"/>
      <c r="AY213" s="397"/>
      <c r="AZ213" s="397"/>
      <c r="BA213" s="397"/>
      <c r="BB213" s="397"/>
      <c r="BC213" s="397"/>
    </row>
    <row r="214" spans="1:55" s="40" customFormat="1" ht="13.5" customHeight="1" x14ac:dyDescent="0.4">
      <c r="A214" s="50"/>
      <c r="B214" s="1040"/>
      <c r="C214" s="1040"/>
      <c r="D214" s="245"/>
      <c r="E214" s="246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761"/>
      <c r="X214" s="747"/>
      <c r="Y214" s="747"/>
      <c r="Z214" s="747"/>
      <c r="AA214" s="747"/>
      <c r="AB214" s="747"/>
      <c r="AC214" s="747"/>
      <c r="AD214" s="766"/>
      <c r="AE214" s="233"/>
      <c r="AF214" s="233"/>
      <c r="AG214" s="233"/>
      <c r="AH214" s="747"/>
      <c r="AI214" s="747"/>
      <c r="AJ214" s="747"/>
      <c r="AK214" s="749"/>
      <c r="AL214" s="397"/>
      <c r="AM214" s="397"/>
      <c r="AN214" s="397"/>
      <c r="AO214" s="397"/>
      <c r="AP214" s="397"/>
      <c r="AQ214" s="397"/>
      <c r="AR214" s="397"/>
      <c r="AS214" s="397"/>
      <c r="AT214" s="397"/>
      <c r="AU214" s="397"/>
      <c r="AV214" s="397"/>
      <c r="AW214" s="397"/>
      <c r="AX214" s="397"/>
      <c r="AY214" s="397"/>
      <c r="AZ214" s="397"/>
      <c r="BA214" s="397"/>
      <c r="BB214" s="397"/>
      <c r="BC214" s="397"/>
    </row>
    <row r="215" spans="1:55" s="40" customFormat="1" ht="13.5" customHeight="1" x14ac:dyDescent="0.4">
      <c r="A215" s="50"/>
      <c r="B215" s="1040"/>
      <c r="C215" s="1040"/>
      <c r="D215" s="245"/>
      <c r="E215" s="246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761"/>
      <c r="X215" s="747"/>
      <c r="Y215" s="747"/>
      <c r="Z215" s="747"/>
      <c r="AA215" s="747"/>
      <c r="AB215" s="747"/>
      <c r="AC215" s="747"/>
      <c r="AD215" s="766"/>
      <c r="AE215" s="233"/>
      <c r="AF215" s="233"/>
      <c r="AG215" s="233"/>
      <c r="AH215" s="747"/>
      <c r="AI215" s="747"/>
      <c r="AJ215" s="747"/>
      <c r="AK215" s="749"/>
      <c r="AL215" s="397"/>
      <c r="AM215" s="397"/>
      <c r="AN215" s="397"/>
      <c r="AO215" s="397"/>
      <c r="AP215" s="397"/>
      <c r="AQ215" s="397"/>
      <c r="AR215" s="397"/>
      <c r="AS215" s="397"/>
      <c r="AT215" s="397"/>
      <c r="AU215" s="397"/>
      <c r="AV215" s="397"/>
      <c r="AW215" s="397"/>
      <c r="AX215" s="397"/>
      <c r="AY215" s="397"/>
      <c r="AZ215" s="397"/>
      <c r="BA215" s="397"/>
      <c r="BB215" s="397"/>
      <c r="BC215" s="397"/>
    </row>
    <row r="216" spans="1:55" s="40" customFormat="1" ht="13.5" customHeight="1" x14ac:dyDescent="0.4">
      <c r="A216" s="50"/>
      <c r="B216" s="1040"/>
      <c r="C216" s="1040"/>
      <c r="D216" s="245"/>
      <c r="E216" s="246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761"/>
      <c r="X216" s="747"/>
      <c r="Y216" s="747"/>
      <c r="Z216" s="747"/>
      <c r="AA216" s="747"/>
      <c r="AB216" s="747"/>
      <c r="AC216" s="747"/>
      <c r="AD216" s="766"/>
      <c r="AE216" s="233"/>
      <c r="AF216" s="233"/>
      <c r="AG216" s="233"/>
      <c r="AH216" s="747"/>
      <c r="AI216" s="747"/>
      <c r="AJ216" s="747"/>
      <c r="AK216" s="749"/>
      <c r="AL216" s="397"/>
      <c r="AM216" s="397"/>
      <c r="AN216" s="397"/>
      <c r="AO216" s="397"/>
      <c r="AP216" s="397"/>
      <c r="AQ216" s="397"/>
      <c r="AR216" s="397"/>
      <c r="AS216" s="397"/>
      <c r="AT216" s="397"/>
      <c r="AU216" s="397"/>
      <c r="AV216" s="397"/>
      <c r="AW216" s="397"/>
      <c r="AX216" s="397"/>
      <c r="AY216" s="397"/>
      <c r="AZ216" s="397"/>
      <c r="BA216" s="397"/>
      <c r="BB216" s="397"/>
      <c r="BC216" s="397"/>
    </row>
    <row r="217" spans="1:55" s="40" customFormat="1" ht="13.5" customHeight="1" x14ac:dyDescent="0.4">
      <c r="A217" s="50"/>
      <c r="B217" s="1040"/>
      <c r="C217" s="1040"/>
      <c r="D217" s="245"/>
      <c r="E217" s="246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761"/>
      <c r="X217" s="747"/>
      <c r="Y217" s="747"/>
      <c r="Z217" s="747"/>
      <c r="AA217" s="747"/>
      <c r="AB217" s="747"/>
      <c r="AC217" s="747"/>
      <c r="AD217" s="766"/>
      <c r="AE217" s="233"/>
      <c r="AF217" s="233"/>
      <c r="AG217" s="233"/>
      <c r="AH217" s="747"/>
      <c r="AI217" s="747"/>
      <c r="AJ217" s="747"/>
      <c r="AK217" s="749"/>
      <c r="AL217" s="397"/>
      <c r="AM217" s="397"/>
      <c r="AN217" s="397"/>
      <c r="AO217" s="397"/>
      <c r="AP217" s="397"/>
      <c r="AQ217" s="397"/>
      <c r="AR217" s="397"/>
      <c r="AS217" s="397"/>
      <c r="AT217" s="397"/>
      <c r="AU217" s="397"/>
      <c r="AV217" s="397"/>
      <c r="AW217" s="397"/>
      <c r="AX217" s="397"/>
      <c r="AY217" s="397"/>
      <c r="AZ217" s="397"/>
      <c r="BA217" s="397"/>
      <c r="BB217" s="397"/>
      <c r="BC217" s="397"/>
    </row>
    <row r="218" spans="1:55" s="40" customFormat="1" ht="13.5" customHeight="1" x14ac:dyDescent="0.4">
      <c r="A218" s="50"/>
      <c r="B218" s="1040"/>
      <c r="C218" s="1040"/>
      <c r="D218" s="245"/>
      <c r="E218" s="246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761"/>
      <c r="X218" s="747"/>
      <c r="Y218" s="747"/>
      <c r="Z218" s="747"/>
      <c r="AA218" s="747"/>
      <c r="AB218" s="747"/>
      <c r="AC218" s="747"/>
      <c r="AD218" s="766"/>
      <c r="AE218" s="233"/>
      <c r="AF218" s="233"/>
      <c r="AG218" s="233"/>
      <c r="AH218" s="747"/>
      <c r="AI218" s="747"/>
      <c r="AJ218" s="747"/>
      <c r="AK218" s="749"/>
      <c r="AL218" s="397"/>
      <c r="AM218" s="397"/>
      <c r="AN218" s="397"/>
      <c r="AO218" s="397"/>
      <c r="AP218" s="397"/>
      <c r="AQ218" s="397"/>
      <c r="AR218" s="397"/>
      <c r="AS218" s="397"/>
      <c r="AT218" s="397"/>
      <c r="AU218" s="397"/>
      <c r="AV218" s="397"/>
      <c r="AW218" s="397"/>
      <c r="AX218" s="397"/>
      <c r="AY218" s="397"/>
      <c r="AZ218" s="397"/>
      <c r="BA218" s="397"/>
      <c r="BB218" s="397"/>
      <c r="BC218" s="397"/>
    </row>
    <row r="219" spans="1:55" s="40" customFormat="1" ht="13.5" customHeight="1" x14ac:dyDescent="0.4">
      <c r="A219" s="50"/>
      <c r="B219" s="1040"/>
      <c r="C219" s="1040"/>
      <c r="D219" s="245"/>
      <c r="E219" s="246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761"/>
      <c r="X219" s="747"/>
      <c r="Y219" s="747"/>
      <c r="Z219" s="747"/>
      <c r="AA219" s="747"/>
      <c r="AB219" s="747"/>
      <c r="AC219" s="747"/>
      <c r="AD219" s="766"/>
      <c r="AE219" s="233"/>
      <c r="AF219" s="233"/>
      <c r="AG219" s="233"/>
      <c r="AH219" s="747"/>
      <c r="AI219" s="747"/>
      <c r="AJ219" s="747"/>
      <c r="AK219" s="749"/>
      <c r="AL219" s="397"/>
      <c r="AM219" s="397"/>
      <c r="AN219" s="397"/>
      <c r="AO219" s="397"/>
      <c r="AP219" s="397"/>
      <c r="AQ219" s="397"/>
      <c r="AR219" s="397"/>
      <c r="AS219" s="397"/>
      <c r="AT219" s="397"/>
      <c r="AU219" s="397"/>
      <c r="AV219" s="397"/>
      <c r="AW219" s="397"/>
      <c r="AX219" s="397"/>
      <c r="AY219" s="397"/>
      <c r="AZ219" s="397"/>
      <c r="BA219" s="397"/>
      <c r="BB219" s="397"/>
      <c r="BC219" s="397"/>
    </row>
    <row r="220" spans="1:55" s="40" customFormat="1" ht="13.5" customHeight="1" x14ac:dyDescent="0.4">
      <c r="A220" s="50"/>
      <c r="B220" s="1040"/>
      <c r="C220" s="1040"/>
      <c r="D220" s="245"/>
      <c r="E220" s="246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761"/>
      <c r="X220" s="747"/>
      <c r="Y220" s="747"/>
      <c r="Z220" s="747"/>
      <c r="AA220" s="747"/>
      <c r="AB220" s="747"/>
      <c r="AC220" s="747"/>
      <c r="AD220" s="766"/>
      <c r="AE220" s="233"/>
      <c r="AF220" s="233"/>
      <c r="AG220" s="233"/>
      <c r="AH220" s="747"/>
      <c r="AI220" s="747"/>
      <c r="AJ220" s="747"/>
      <c r="AK220" s="749"/>
      <c r="AL220" s="397"/>
      <c r="AM220" s="397"/>
      <c r="AN220" s="397"/>
      <c r="AO220" s="397"/>
      <c r="AP220" s="397"/>
      <c r="AQ220" s="397"/>
      <c r="AR220" s="397"/>
      <c r="AS220" s="397"/>
      <c r="AT220" s="397"/>
      <c r="AU220" s="397"/>
      <c r="AV220" s="397"/>
      <c r="AW220" s="397"/>
      <c r="AX220" s="397"/>
      <c r="AY220" s="397"/>
      <c r="AZ220" s="397"/>
      <c r="BA220" s="397"/>
      <c r="BB220" s="397"/>
      <c r="BC220" s="397"/>
    </row>
    <row r="221" spans="1:55" s="40" customFormat="1" ht="13.5" customHeight="1" x14ac:dyDescent="0.4">
      <c r="A221" s="50"/>
      <c r="B221" s="1040"/>
      <c r="C221" s="1040"/>
      <c r="D221" s="245"/>
      <c r="E221" s="246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761"/>
      <c r="X221" s="747"/>
      <c r="Y221" s="747"/>
      <c r="Z221" s="747"/>
      <c r="AA221" s="747"/>
      <c r="AB221" s="747"/>
      <c r="AC221" s="747"/>
      <c r="AD221" s="766"/>
      <c r="AE221" s="233"/>
      <c r="AF221" s="233"/>
      <c r="AG221" s="233"/>
      <c r="AH221" s="747"/>
      <c r="AI221" s="747"/>
      <c r="AJ221" s="747"/>
      <c r="AK221" s="749"/>
      <c r="AL221" s="397"/>
      <c r="AM221" s="397"/>
      <c r="AN221" s="397"/>
      <c r="AO221" s="397"/>
      <c r="AP221" s="397"/>
      <c r="AQ221" s="397"/>
      <c r="AR221" s="397"/>
      <c r="AS221" s="397"/>
      <c r="AT221" s="397"/>
      <c r="AU221" s="397"/>
      <c r="AV221" s="397"/>
      <c r="AW221" s="397"/>
      <c r="AX221" s="397"/>
      <c r="AY221" s="397"/>
      <c r="AZ221" s="397"/>
      <c r="BA221" s="397"/>
      <c r="BB221" s="397"/>
      <c r="BC221" s="397"/>
    </row>
    <row r="222" spans="1:55" s="40" customFormat="1" ht="13.5" customHeight="1" x14ac:dyDescent="0.4">
      <c r="A222" s="50"/>
      <c r="B222" s="1040"/>
      <c r="C222" s="1040"/>
      <c r="D222" s="245"/>
      <c r="E222" s="246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761"/>
      <c r="X222" s="747"/>
      <c r="Y222" s="747"/>
      <c r="Z222" s="747"/>
      <c r="AA222" s="747"/>
      <c r="AB222" s="747"/>
      <c r="AC222" s="747"/>
      <c r="AD222" s="766"/>
      <c r="AE222" s="233"/>
      <c r="AF222" s="233"/>
      <c r="AG222" s="233"/>
      <c r="AH222" s="747"/>
      <c r="AI222" s="747"/>
      <c r="AJ222" s="747"/>
      <c r="AK222" s="749"/>
      <c r="AL222" s="397"/>
      <c r="AM222" s="397"/>
      <c r="AN222" s="397"/>
      <c r="AO222" s="397"/>
      <c r="AP222" s="397"/>
      <c r="AQ222" s="397"/>
      <c r="AR222" s="397"/>
      <c r="AS222" s="397"/>
      <c r="AT222" s="397"/>
      <c r="AU222" s="397"/>
      <c r="AV222" s="397"/>
      <c r="AW222" s="397"/>
      <c r="AX222" s="397"/>
      <c r="AY222" s="397"/>
      <c r="AZ222" s="397"/>
      <c r="BA222" s="397"/>
      <c r="BB222" s="397"/>
      <c r="BC222" s="397"/>
    </row>
    <row r="223" spans="1:55" s="40" customFormat="1" ht="13.5" customHeight="1" x14ac:dyDescent="0.4">
      <c r="A223" s="50"/>
      <c r="B223" s="1040"/>
      <c r="C223" s="1040"/>
      <c r="D223" s="245"/>
      <c r="E223" s="246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761"/>
      <c r="X223" s="747"/>
      <c r="Y223" s="747"/>
      <c r="Z223" s="747"/>
      <c r="AA223" s="747"/>
      <c r="AB223" s="747"/>
      <c r="AC223" s="747"/>
      <c r="AD223" s="766"/>
      <c r="AE223" s="233"/>
      <c r="AF223" s="233"/>
      <c r="AG223" s="233"/>
      <c r="AH223" s="747"/>
      <c r="AI223" s="747"/>
      <c r="AJ223" s="747"/>
      <c r="AK223" s="749"/>
      <c r="AL223" s="397"/>
      <c r="AM223" s="397"/>
      <c r="AN223" s="397"/>
      <c r="AO223" s="397"/>
      <c r="AP223" s="397"/>
      <c r="AQ223" s="397"/>
      <c r="AR223" s="397"/>
      <c r="AS223" s="397"/>
      <c r="AT223" s="397"/>
      <c r="AU223" s="397"/>
      <c r="AV223" s="397"/>
      <c r="AW223" s="397"/>
      <c r="AX223" s="397"/>
      <c r="AY223" s="397"/>
      <c r="AZ223" s="397"/>
      <c r="BA223" s="397"/>
      <c r="BB223" s="397"/>
      <c r="BC223" s="397"/>
    </row>
    <row r="224" spans="1:55" s="40" customFormat="1" ht="13.5" customHeight="1" x14ac:dyDescent="0.4">
      <c r="A224" s="50"/>
      <c r="B224" s="1040"/>
      <c r="C224" s="1040"/>
      <c r="D224" s="245"/>
      <c r="E224" s="246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761"/>
      <c r="X224" s="747"/>
      <c r="Y224" s="747"/>
      <c r="Z224" s="747"/>
      <c r="AA224" s="747"/>
      <c r="AB224" s="747"/>
      <c r="AC224" s="747"/>
      <c r="AD224" s="766"/>
      <c r="AE224" s="233"/>
      <c r="AF224" s="233"/>
      <c r="AG224" s="233"/>
      <c r="AH224" s="747"/>
      <c r="AI224" s="747"/>
      <c r="AJ224" s="747"/>
      <c r="AK224" s="749"/>
      <c r="AL224" s="397"/>
      <c r="AM224" s="397"/>
      <c r="AN224" s="397"/>
      <c r="AO224" s="397"/>
      <c r="AP224" s="397"/>
      <c r="AQ224" s="397"/>
      <c r="AR224" s="397"/>
      <c r="AS224" s="397"/>
      <c r="AT224" s="397"/>
      <c r="AU224" s="397"/>
      <c r="AV224" s="397"/>
      <c r="AW224" s="397"/>
      <c r="AX224" s="397"/>
      <c r="AY224" s="397"/>
      <c r="AZ224" s="397"/>
      <c r="BA224" s="397"/>
      <c r="BB224" s="397"/>
      <c r="BC224" s="397"/>
    </row>
    <row r="225" spans="1:55" s="40" customFormat="1" ht="13.5" customHeight="1" x14ac:dyDescent="0.4">
      <c r="A225" s="50"/>
      <c r="B225" s="1040"/>
      <c r="C225" s="1040"/>
      <c r="D225" s="245"/>
      <c r="E225" s="246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761"/>
      <c r="X225" s="747"/>
      <c r="Y225" s="747"/>
      <c r="Z225" s="747"/>
      <c r="AA225" s="747"/>
      <c r="AB225" s="747"/>
      <c r="AC225" s="747"/>
      <c r="AD225" s="766"/>
      <c r="AE225" s="233"/>
      <c r="AF225" s="233"/>
      <c r="AG225" s="233"/>
      <c r="AH225" s="747"/>
      <c r="AI225" s="747"/>
      <c r="AJ225" s="747"/>
      <c r="AK225" s="749"/>
      <c r="AL225" s="397"/>
      <c r="AM225" s="397"/>
      <c r="AN225" s="397"/>
      <c r="AO225" s="397"/>
      <c r="AP225" s="397"/>
      <c r="AQ225" s="397"/>
      <c r="AR225" s="397"/>
      <c r="AS225" s="397"/>
      <c r="AT225" s="397"/>
      <c r="AU225" s="397"/>
      <c r="AV225" s="397"/>
      <c r="AW225" s="397"/>
      <c r="AX225" s="397"/>
      <c r="AY225" s="397"/>
      <c r="AZ225" s="397"/>
      <c r="BA225" s="397"/>
      <c r="BB225" s="397"/>
      <c r="BC225" s="397"/>
    </row>
    <row r="226" spans="1:55" s="40" customFormat="1" ht="13.5" customHeight="1" x14ac:dyDescent="0.4">
      <c r="A226" s="50"/>
      <c r="B226" s="1040"/>
      <c r="C226" s="1040"/>
      <c r="D226" s="245"/>
      <c r="E226" s="246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761"/>
      <c r="X226" s="747"/>
      <c r="Y226" s="747"/>
      <c r="Z226" s="747"/>
      <c r="AA226" s="747"/>
      <c r="AB226" s="747"/>
      <c r="AC226" s="747"/>
      <c r="AD226" s="766"/>
      <c r="AE226" s="233"/>
      <c r="AF226" s="233"/>
      <c r="AG226" s="233"/>
      <c r="AH226" s="747"/>
      <c r="AI226" s="747"/>
      <c r="AJ226" s="747"/>
      <c r="AK226" s="749"/>
      <c r="AL226" s="397"/>
      <c r="AM226" s="397"/>
      <c r="AN226" s="397"/>
      <c r="AO226" s="397"/>
      <c r="AP226" s="397"/>
      <c r="AQ226" s="397"/>
      <c r="AR226" s="397"/>
      <c r="AS226" s="397"/>
      <c r="AT226" s="397"/>
      <c r="AU226" s="397"/>
      <c r="AV226" s="397"/>
      <c r="AW226" s="397"/>
      <c r="AX226" s="397"/>
      <c r="AY226" s="397"/>
      <c r="AZ226" s="397"/>
      <c r="BA226" s="397"/>
      <c r="BB226" s="397"/>
      <c r="BC226" s="397"/>
    </row>
    <row r="227" spans="1:55" s="40" customFormat="1" ht="13.5" customHeight="1" x14ac:dyDescent="0.4">
      <c r="A227" s="50"/>
      <c r="B227" s="1040"/>
      <c r="C227" s="1040"/>
      <c r="D227" s="245"/>
      <c r="E227" s="246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761"/>
      <c r="X227" s="747"/>
      <c r="Y227" s="747"/>
      <c r="Z227" s="747"/>
      <c r="AA227" s="747"/>
      <c r="AB227" s="747"/>
      <c r="AC227" s="747"/>
      <c r="AD227" s="766"/>
      <c r="AE227" s="233"/>
      <c r="AF227" s="233"/>
      <c r="AG227" s="233"/>
      <c r="AH227" s="747"/>
      <c r="AI227" s="747"/>
      <c r="AJ227" s="747"/>
      <c r="AK227" s="749"/>
      <c r="AL227" s="397"/>
      <c r="AM227" s="397"/>
      <c r="AN227" s="397"/>
      <c r="AO227" s="397"/>
      <c r="AP227" s="397"/>
      <c r="AQ227" s="397"/>
      <c r="AR227" s="397"/>
      <c r="AS227" s="397"/>
      <c r="AT227" s="397"/>
      <c r="AU227" s="397"/>
      <c r="AV227" s="397"/>
      <c r="AW227" s="397"/>
      <c r="AX227" s="397"/>
      <c r="AY227" s="397"/>
      <c r="AZ227" s="397"/>
      <c r="BA227" s="397"/>
      <c r="BB227" s="397"/>
      <c r="BC227" s="397"/>
    </row>
    <row r="228" spans="1:55" s="40" customFormat="1" ht="13.5" customHeight="1" x14ac:dyDescent="0.4">
      <c r="A228" s="50"/>
      <c r="B228" s="1040"/>
      <c r="C228" s="1040"/>
      <c r="D228" s="245"/>
      <c r="E228" s="246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761"/>
      <c r="X228" s="747"/>
      <c r="Y228" s="747"/>
      <c r="Z228" s="747"/>
      <c r="AA228" s="747"/>
      <c r="AB228" s="747"/>
      <c r="AC228" s="747"/>
      <c r="AD228" s="766"/>
      <c r="AE228" s="233"/>
      <c r="AF228" s="233"/>
      <c r="AG228" s="233"/>
      <c r="AH228" s="747"/>
      <c r="AI228" s="747"/>
      <c r="AJ228" s="747"/>
      <c r="AK228" s="749"/>
      <c r="AL228" s="397"/>
      <c r="AM228" s="397"/>
      <c r="AN228" s="397"/>
      <c r="AO228" s="397"/>
      <c r="AP228" s="397"/>
      <c r="AQ228" s="397"/>
      <c r="AR228" s="397"/>
      <c r="AS228" s="397"/>
      <c r="AT228" s="397"/>
      <c r="AU228" s="397"/>
      <c r="AV228" s="397"/>
      <c r="AW228" s="397"/>
      <c r="AX228" s="397"/>
      <c r="AY228" s="397"/>
      <c r="AZ228" s="397"/>
      <c r="BA228" s="397"/>
      <c r="BB228" s="397"/>
      <c r="BC228" s="397"/>
    </row>
    <row r="229" spans="1:55" s="40" customFormat="1" ht="13.5" customHeight="1" x14ac:dyDescent="0.4">
      <c r="A229" s="50"/>
      <c r="B229" s="1040"/>
      <c r="C229" s="1040"/>
      <c r="D229" s="245"/>
      <c r="E229" s="246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761"/>
      <c r="X229" s="747"/>
      <c r="Y229" s="747"/>
      <c r="Z229" s="747"/>
      <c r="AA229" s="747"/>
      <c r="AB229" s="747"/>
      <c r="AC229" s="747"/>
      <c r="AD229" s="766"/>
      <c r="AE229" s="233"/>
      <c r="AF229" s="233"/>
      <c r="AG229" s="233"/>
      <c r="AH229" s="747"/>
      <c r="AI229" s="747"/>
      <c r="AJ229" s="747"/>
      <c r="AK229" s="749"/>
      <c r="AL229" s="397"/>
      <c r="AM229" s="397"/>
      <c r="AN229" s="397"/>
      <c r="AO229" s="397"/>
      <c r="AP229" s="397"/>
      <c r="AQ229" s="397"/>
      <c r="AR229" s="397"/>
      <c r="AS229" s="397"/>
      <c r="AT229" s="397"/>
      <c r="AU229" s="397"/>
      <c r="AV229" s="397"/>
      <c r="AW229" s="397"/>
      <c r="AX229" s="397"/>
      <c r="AY229" s="397"/>
      <c r="AZ229" s="397"/>
      <c r="BA229" s="397"/>
      <c r="BB229" s="397"/>
      <c r="BC229" s="397"/>
    </row>
    <row r="230" spans="1:55" s="40" customFormat="1" ht="13.5" customHeight="1" x14ac:dyDescent="0.4">
      <c r="A230" s="50"/>
      <c r="B230" s="1040"/>
      <c r="C230" s="1040"/>
      <c r="D230" s="245"/>
      <c r="E230" s="246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761"/>
      <c r="X230" s="747"/>
      <c r="Y230" s="747"/>
      <c r="Z230" s="747"/>
      <c r="AA230" s="747"/>
      <c r="AB230" s="747"/>
      <c r="AC230" s="747"/>
      <c r="AD230" s="766"/>
      <c r="AE230" s="233"/>
      <c r="AF230" s="233"/>
      <c r="AG230" s="233"/>
      <c r="AH230" s="747"/>
      <c r="AI230" s="747"/>
      <c r="AJ230" s="747"/>
      <c r="AK230" s="749"/>
      <c r="AL230" s="397"/>
      <c r="AM230" s="397"/>
      <c r="AN230" s="397"/>
      <c r="AO230" s="397"/>
      <c r="AP230" s="397"/>
      <c r="AQ230" s="397"/>
      <c r="AR230" s="397"/>
      <c r="AS230" s="397"/>
      <c r="AT230" s="397"/>
      <c r="AU230" s="397"/>
      <c r="AV230" s="397"/>
      <c r="AW230" s="397"/>
      <c r="AX230" s="397"/>
      <c r="AY230" s="397"/>
      <c r="AZ230" s="397"/>
      <c r="BA230" s="397"/>
      <c r="BB230" s="397"/>
      <c r="BC230" s="397"/>
    </row>
    <row r="231" spans="1:55" s="40" customFormat="1" ht="13.5" customHeight="1" x14ac:dyDescent="0.4">
      <c r="A231" s="50"/>
      <c r="B231" s="1040"/>
      <c r="C231" s="1040"/>
      <c r="D231" s="245"/>
      <c r="E231" s="246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761"/>
      <c r="X231" s="747"/>
      <c r="Y231" s="747"/>
      <c r="Z231" s="747"/>
      <c r="AA231" s="747"/>
      <c r="AB231" s="747"/>
      <c r="AC231" s="747"/>
      <c r="AD231" s="766"/>
      <c r="AE231" s="233"/>
      <c r="AF231" s="233"/>
      <c r="AG231" s="233"/>
      <c r="AH231" s="747"/>
      <c r="AI231" s="747"/>
      <c r="AJ231" s="747"/>
      <c r="AK231" s="749"/>
      <c r="AL231" s="397"/>
      <c r="AM231" s="397"/>
      <c r="AN231" s="397"/>
      <c r="AO231" s="397"/>
      <c r="AP231" s="397"/>
      <c r="AQ231" s="397"/>
      <c r="AR231" s="397"/>
      <c r="AS231" s="397"/>
      <c r="AT231" s="397"/>
      <c r="AU231" s="397"/>
      <c r="AV231" s="397"/>
      <c r="AW231" s="397"/>
      <c r="AX231" s="397"/>
      <c r="AY231" s="397"/>
      <c r="AZ231" s="397"/>
      <c r="BA231" s="397"/>
      <c r="BB231" s="397"/>
      <c r="BC231" s="397"/>
    </row>
    <row r="232" spans="1:55" s="40" customFormat="1" ht="13.5" customHeight="1" x14ac:dyDescent="0.4">
      <c r="A232" s="50"/>
      <c r="B232" s="1040"/>
      <c r="C232" s="1040"/>
      <c r="D232" s="245"/>
      <c r="E232" s="246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761"/>
      <c r="X232" s="747"/>
      <c r="Y232" s="747"/>
      <c r="Z232" s="747"/>
      <c r="AA232" s="747"/>
      <c r="AB232" s="747"/>
      <c r="AC232" s="747"/>
      <c r="AD232" s="766"/>
      <c r="AE232" s="233"/>
      <c r="AF232" s="233"/>
      <c r="AG232" s="233"/>
      <c r="AH232" s="747"/>
      <c r="AI232" s="747"/>
      <c r="AJ232" s="747"/>
      <c r="AK232" s="749"/>
      <c r="AL232" s="397"/>
      <c r="AM232" s="397"/>
      <c r="AN232" s="397"/>
      <c r="AO232" s="397"/>
      <c r="AP232" s="397"/>
      <c r="AQ232" s="397"/>
      <c r="AR232" s="397"/>
      <c r="AS232" s="397"/>
      <c r="AT232" s="397"/>
      <c r="AU232" s="397"/>
      <c r="AV232" s="397"/>
      <c r="AW232" s="397"/>
      <c r="AX232" s="397"/>
      <c r="AY232" s="397"/>
      <c r="AZ232" s="397"/>
      <c r="BA232" s="397"/>
      <c r="BB232" s="397"/>
      <c r="BC232" s="397"/>
    </row>
    <row r="233" spans="1:55" s="40" customFormat="1" ht="13.5" customHeight="1" x14ac:dyDescent="0.4">
      <c r="A233" s="50"/>
      <c r="B233" s="1040"/>
      <c r="C233" s="1040"/>
      <c r="D233" s="245"/>
      <c r="E233" s="246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761"/>
      <c r="X233" s="747"/>
      <c r="Y233" s="747"/>
      <c r="Z233" s="747"/>
      <c r="AA233" s="747"/>
      <c r="AB233" s="747"/>
      <c r="AC233" s="747"/>
      <c r="AD233" s="766"/>
      <c r="AE233" s="233"/>
      <c r="AF233" s="233"/>
      <c r="AG233" s="233"/>
      <c r="AH233" s="747"/>
      <c r="AI233" s="747"/>
      <c r="AJ233" s="747"/>
      <c r="AK233" s="749"/>
      <c r="AL233" s="397"/>
      <c r="AM233" s="397"/>
      <c r="AN233" s="397"/>
      <c r="AO233" s="397"/>
      <c r="AP233" s="397"/>
      <c r="AQ233" s="397"/>
      <c r="AR233" s="397"/>
      <c r="AS233" s="397"/>
      <c r="AT233" s="397"/>
      <c r="AU233" s="397"/>
      <c r="AV233" s="397"/>
      <c r="AW233" s="397"/>
      <c r="AX233" s="397"/>
      <c r="AY233" s="397"/>
      <c r="AZ233" s="397"/>
      <c r="BA233" s="397"/>
      <c r="BB233" s="397"/>
      <c r="BC233" s="397"/>
    </row>
    <row r="234" spans="1:55" s="40" customFormat="1" ht="13.5" customHeight="1" x14ac:dyDescent="0.4">
      <c r="A234" s="50"/>
      <c r="B234" s="1040"/>
      <c r="C234" s="1040"/>
      <c r="D234" s="245"/>
      <c r="E234" s="246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761"/>
      <c r="X234" s="747"/>
      <c r="Y234" s="747"/>
      <c r="Z234" s="747"/>
      <c r="AA234" s="747"/>
      <c r="AB234" s="747"/>
      <c r="AC234" s="747"/>
      <c r="AD234" s="766"/>
      <c r="AE234" s="233"/>
      <c r="AF234" s="233"/>
      <c r="AG234" s="233"/>
      <c r="AH234" s="747"/>
      <c r="AI234" s="747"/>
      <c r="AJ234" s="747"/>
      <c r="AK234" s="749"/>
      <c r="AL234" s="397"/>
      <c r="AM234" s="397"/>
      <c r="AN234" s="397"/>
      <c r="AO234" s="397"/>
      <c r="AP234" s="397"/>
      <c r="AQ234" s="397"/>
      <c r="AR234" s="397"/>
      <c r="AS234" s="397"/>
      <c r="AT234" s="397"/>
      <c r="AU234" s="397"/>
      <c r="AV234" s="397"/>
      <c r="AW234" s="397"/>
      <c r="AX234" s="397"/>
      <c r="AY234" s="397"/>
      <c r="AZ234" s="397"/>
      <c r="BA234" s="397"/>
      <c r="BB234" s="397"/>
      <c r="BC234" s="397"/>
    </row>
    <row r="235" spans="1:55" s="40" customFormat="1" ht="13.5" customHeight="1" x14ac:dyDescent="0.4">
      <c r="A235" s="50"/>
      <c r="B235" s="1040"/>
      <c r="C235" s="1040"/>
      <c r="D235" s="245"/>
      <c r="E235" s="246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761"/>
      <c r="X235" s="747"/>
      <c r="Y235" s="747"/>
      <c r="Z235" s="747"/>
      <c r="AA235" s="747"/>
      <c r="AB235" s="747"/>
      <c r="AC235" s="747"/>
      <c r="AD235" s="766"/>
      <c r="AE235" s="233"/>
      <c r="AF235" s="233"/>
      <c r="AG235" s="233"/>
      <c r="AH235" s="747"/>
      <c r="AI235" s="747"/>
      <c r="AJ235" s="747"/>
      <c r="AK235" s="749"/>
      <c r="AL235" s="397"/>
      <c r="AM235" s="397"/>
      <c r="AN235" s="397"/>
      <c r="AO235" s="397"/>
      <c r="AP235" s="397"/>
      <c r="AQ235" s="397"/>
      <c r="AR235" s="397"/>
      <c r="AS235" s="397"/>
      <c r="AT235" s="397"/>
      <c r="AU235" s="397"/>
      <c r="AV235" s="397"/>
      <c r="AW235" s="397"/>
      <c r="AX235" s="397"/>
      <c r="AY235" s="397"/>
      <c r="AZ235" s="397"/>
      <c r="BA235" s="397"/>
      <c r="BB235" s="397"/>
      <c r="BC235" s="397"/>
    </row>
    <row r="236" spans="1:55" s="40" customFormat="1" ht="13.5" customHeight="1" x14ac:dyDescent="0.4">
      <c r="A236" s="50"/>
      <c r="B236" s="1040"/>
      <c r="C236" s="1040"/>
      <c r="D236" s="245"/>
      <c r="E236" s="246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761"/>
      <c r="X236" s="747"/>
      <c r="Y236" s="747"/>
      <c r="Z236" s="747"/>
      <c r="AA236" s="747"/>
      <c r="AB236" s="747"/>
      <c r="AC236" s="747"/>
      <c r="AD236" s="766"/>
      <c r="AE236" s="233"/>
      <c r="AF236" s="233"/>
      <c r="AG236" s="233"/>
      <c r="AH236" s="747"/>
      <c r="AI236" s="747"/>
      <c r="AJ236" s="747"/>
      <c r="AK236" s="749"/>
      <c r="AL236" s="397"/>
      <c r="AM236" s="397"/>
      <c r="AN236" s="397"/>
      <c r="AO236" s="397"/>
      <c r="AP236" s="397"/>
      <c r="AQ236" s="397"/>
      <c r="AR236" s="397"/>
      <c r="AS236" s="397"/>
      <c r="AT236" s="397"/>
      <c r="AU236" s="397"/>
      <c r="AV236" s="397"/>
      <c r="AW236" s="397"/>
      <c r="AX236" s="397"/>
      <c r="AY236" s="397"/>
      <c r="AZ236" s="397"/>
      <c r="BA236" s="397"/>
      <c r="BB236" s="397"/>
      <c r="BC236" s="397"/>
    </row>
    <row r="237" spans="1:55" s="40" customFormat="1" ht="13.5" customHeight="1" x14ac:dyDescent="0.4">
      <c r="A237" s="50"/>
      <c r="B237" s="1040"/>
      <c r="C237" s="1040"/>
      <c r="D237" s="245"/>
      <c r="E237" s="246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761"/>
      <c r="X237" s="747"/>
      <c r="Y237" s="747"/>
      <c r="Z237" s="747"/>
      <c r="AA237" s="747"/>
      <c r="AB237" s="747"/>
      <c r="AC237" s="747"/>
      <c r="AD237" s="766"/>
      <c r="AE237" s="233"/>
      <c r="AF237" s="233"/>
      <c r="AG237" s="233"/>
      <c r="AH237" s="747"/>
      <c r="AI237" s="747"/>
      <c r="AJ237" s="747"/>
      <c r="AK237" s="749"/>
      <c r="AL237" s="397"/>
      <c r="AM237" s="397"/>
      <c r="AN237" s="397"/>
      <c r="AO237" s="397"/>
      <c r="AP237" s="397"/>
      <c r="AQ237" s="397"/>
      <c r="AR237" s="397"/>
      <c r="AS237" s="397"/>
      <c r="AT237" s="397"/>
      <c r="AU237" s="397"/>
      <c r="AV237" s="397"/>
      <c r="AW237" s="397"/>
      <c r="AX237" s="397"/>
      <c r="AY237" s="397"/>
      <c r="AZ237" s="397"/>
      <c r="BA237" s="397"/>
      <c r="BB237" s="397"/>
      <c r="BC237" s="397"/>
    </row>
    <row r="238" spans="1:55" s="40" customFormat="1" ht="13.5" customHeight="1" x14ac:dyDescent="0.4">
      <c r="A238" s="50"/>
      <c r="B238" s="1040"/>
      <c r="C238" s="1040"/>
      <c r="D238" s="245"/>
      <c r="E238" s="246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761"/>
      <c r="X238" s="747"/>
      <c r="Y238" s="747"/>
      <c r="Z238" s="747"/>
      <c r="AA238" s="747"/>
      <c r="AB238" s="747"/>
      <c r="AC238" s="747"/>
      <c r="AD238" s="766"/>
      <c r="AE238" s="233"/>
      <c r="AF238" s="233"/>
      <c r="AG238" s="233"/>
      <c r="AH238" s="747"/>
      <c r="AI238" s="747"/>
      <c r="AJ238" s="747"/>
      <c r="AK238" s="749"/>
      <c r="AL238" s="397"/>
      <c r="AM238" s="397"/>
      <c r="AN238" s="397"/>
      <c r="AO238" s="397"/>
      <c r="AP238" s="397"/>
      <c r="AQ238" s="397"/>
      <c r="AR238" s="397"/>
      <c r="AS238" s="397"/>
      <c r="AT238" s="397"/>
      <c r="AU238" s="397"/>
      <c r="AV238" s="397"/>
      <c r="AW238" s="397"/>
      <c r="AX238" s="397"/>
      <c r="AY238" s="397"/>
      <c r="AZ238" s="397"/>
      <c r="BA238" s="397"/>
      <c r="BB238" s="397"/>
      <c r="BC238" s="397"/>
    </row>
    <row r="239" spans="1:55" s="40" customFormat="1" ht="13.5" customHeight="1" x14ac:dyDescent="0.4">
      <c r="A239" s="50"/>
      <c r="B239" s="1040"/>
      <c r="C239" s="1040"/>
      <c r="D239" s="245"/>
      <c r="E239" s="246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761"/>
      <c r="X239" s="747"/>
      <c r="Y239" s="747"/>
      <c r="Z239" s="747"/>
      <c r="AA239" s="747"/>
      <c r="AB239" s="747"/>
      <c r="AC239" s="747"/>
      <c r="AD239" s="766"/>
      <c r="AE239" s="233"/>
      <c r="AF239" s="233"/>
      <c r="AG239" s="233"/>
      <c r="AH239" s="747"/>
      <c r="AI239" s="747"/>
      <c r="AJ239" s="747"/>
      <c r="AK239" s="749"/>
      <c r="AL239" s="397"/>
      <c r="AM239" s="397"/>
      <c r="AN239" s="397"/>
      <c r="AO239" s="397"/>
      <c r="AP239" s="397"/>
      <c r="AQ239" s="397"/>
      <c r="AR239" s="397"/>
      <c r="AS239" s="397"/>
      <c r="AT239" s="397"/>
      <c r="AU239" s="397"/>
      <c r="AV239" s="397"/>
      <c r="AW239" s="397"/>
      <c r="AX239" s="397"/>
      <c r="AY239" s="397"/>
      <c r="AZ239" s="397"/>
      <c r="BA239" s="397"/>
      <c r="BB239" s="397"/>
      <c r="BC239" s="397"/>
    </row>
    <row r="240" spans="1:55" s="40" customFormat="1" ht="13.5" customHeight="1" x14ac:dyDescent="0.4">
      <c r="A240" s="50"/>
      <c r="B240" s="1040"/>
      <c r="C240" s="1040"/>
      <c r="D240" s="245"/>
      <c r="E240" s="246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761"/>
      <c r="X240" s="747"/>
      <c r="Y240" s="747"/>
      <c r="Z240" s="747"/>
      <c r="AA240" s="747"/>
      <c r="AB240" s="747"/>
      <c r="AC240" s="747"/>
      <c r="AD240" s="766"/>
      <c r="AE240" s="233"/>
      <c r="AF240" s="233"/>
      <c r="AG240" s="233"/>
      <c r="AH240" s="747"/>
      <c r="AI240" s="747"/>
      <c r="AJ240" s="747"/>
      <c r="AK240" s="749"/>
      <c r="AL240" s="397"/>
      <c r="AM240" s="397"/>
      <c r="AN240" s="397"/>
      <c r="AO240" s="397"/>
      <c r="AP240" s="397"/>
      <c r="AQ240" s="397"/>
      <c r="AR240" s="397"/>
      <c r="AS240" s="397"/>
      <c r="AT240" s="397"/>
      <c r="AU240" s="397"/>
      <c r="AV240" s="397"/>
      <c r="AW240" s="397"/>
      <c r="AX240" s="397"/>
      <c r="AY240" s="397"/>
      <c r="AZ240" s="397"/>
      <c r="BA240" s="397"/>
      <c r="BB240" s="397"/>
      <c r="BC240" s="397"/>
    </row>
    <row r="241" spans="1:55" s="40" customFormat="1" ht="13.5" customHeight="1" x14ac:dyDescent="0.4">
      <c r="A241" s="50"/>
      <c r="B241" s="1040"/>
      <c r="C241" s="1040"/>
      <c r="D241" s="245"/>
      <c r="E241" s="246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761"/>
      <c r="X241" s="747"/>
      <c r="Y241" s="747"/>
      <c r="Z241" s="747"/>
      <c r="AA241" s="747"/>
      <c r="AB241" s="747"/>
      <c r="AC241" s="747"/>
      <c r="AD241" s="766"/>
      <c r="AE241" s="233"/>
      <c r="AF241" s="233"/>
      <c r="AG241" s="233"/>
      <c r="AH241" s="747"/>
      <c r="AI241" s="747"/>
      <c r="AJ241" s="747"/>
      <c r="AK241" s="749"/>
      <c r="AL241" s="397"/>
      <c r="AM241" s="397"/>
      <c r="AN241" s="397"/>
      <c r="AO241" s="397"/>
      <c r="AP241" s="397"/>
      <c r="AQ241" s="397"/>
      <c r="AR241" s="397"/>
      <c r="AS241" s="397"/>
      <c r="AT241" s="397"/>
      <c r="AU241" s="397"/>
      <c r="AV241" s="397"/>
      <c r="AW241" s="397"/>
      <c r="AX241" s="397"/>
      <c r="AY241" s="397"/>
      <c r="AZ241" s="397"/>
      <c r="BA241" s="397"/>
      <c r="BB241" s="397"/>
      <c r="BC241" s="397"/>
    </row>
    <row r="242" spans="1:55" s="40" customFormat="1" ht="13.5" customHeight="1" x14ac:dyDescent="0.4">
      <c r="A242" s="50"/>
      <c r="B242" s="1040"/>
      <c r="C242" s="1040"/>
      <c r="D242" s="245"/>
      <c r="E242" s="246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761"/>
      <c r="X242" s="747"/>
      <c r="Y242" s="747"/>
      <c r="Z242" s="747"/>
      <c r="AA242" s="747"/>
      <c r="AB242" s="747"/>
      <c r="AC242" s="747"/>
      <c r="AD242" s="766"/>
      <c r="AE242" s="233"/>
      <c r="AF242" s="233"/>
      <c r="AG242" s="233"/>
      <c r="AH242" s="747"/>
      <c r="AI242" s="747"/>
      <c r="AJ242" s="747"/>
      <c r="AK242" s="749"/>
      <c r="AL242" s="397"/>
      <c r="AM242" s="397"/>
      <c r="AN242" s="397"/>
      <c r="AO242" s="397"/>
      <c r="AP242" s="397"/>
      <c r="AQ242" s="397"/>
      <c r="AR242" s="397"/>
      <c r="AS242" s="397"/>
      <c r="AT242" s="397"/>
      <c r="AU242" s="397"/>
      <c r="AV242" s="397"/>
      <c r="AW242" s="397"/>
      <c r="AX242" s="397"/>
      <c r="AY242" s="397"/>
      <c r="AZ242" s="397"/>
      <c r="BA242" s="397"/>
      <c r="BB242" s="397"/>
      <c r="BC242" s="397"/>
    </row>
    <row r="243" spans="1:55" s="51" customFormat="1" ht="82.5" customHeight="1" x14ac:dyDescent="0.4">
      <c r="A243" s="1050"/>
      <c r="B243" s="1050"/>
      <c r="C243" s="1050"/>
      <c r="E243" s="1070" t="s">
        <v>13</v>
      </c>
      <c r="F243" s="195"/>
      <c r="G243" s="195"/>
      <c r="H243" s="195"/>
      <c r="I243" s="195"/>
      <c r="J243" s="195"/>
      <c r="K243" s="195"/>
      <c r="L243" s="195"/>
      <c r="M243" s="195"/>
      <c r="N243" s="195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  <c r="AA243" s="195"/>
      <c r="AB243" s="195"/>
      <c r="AC243" s="195"/>
      <c r="AD243" s="769"/>
      <c r="AG243" s="51" t="s">
        <v>179</v>
      </c>
      <c r="AH243" s="195"/>
      <c r="AI243" s="195"/>
      <c r="AJ243" s="195"/>
      <c r="AK243" s="195"/>
      <c r="AL243" s="195"/>
      <c r="AM243" s="195"/>
      <c r="AN243" s="195"/>
      <c r="AO243" s="195"/>
      <c r="AP243" s="195"/>
      <c r="AQ243" s="195"/>
      <c r="AR243" s="195"/>
      <c r="AS243" s="195"/>
      <c r="AT243" s="195"/>
      <c r="AU243" s="195"/>
      <c r="AV243" s="195"/>
      <c r="AW243" s="195"/>
      <c r="AX243" s="195"/>
      <c r="AY243" s="195"/>
      <c r="AZ243" s="195"/>
      <c r="BA243" s="195"/>
      <c r="BB243" s="195"/>
      <c r="BC243" s="195"/>
    </row>
    <row r="244" spans="1:55" s="40" customFormat="1" x14ac:dyDescent="0.4">
      <c r="A244" s="126"/>
      <c r="B244" s="126"/>
      <c r="C244" s="126"/>
      <c r="D244" s="245" t="s">
        <v>48</v>
      </c>
      <c r="F244" s="397"/>
      <c r="G244" s="397"/>
      <c r="H244" s="240"/>
      <c r="I244" s="397"/>
      <c r="J244" s="397"/>
      <c r="K244" s="397"/>
      <c r="L244" s="397"/>
      <c r="M244" s="397"/>
      <c r="N244" s="397"/>
      <c r="O244" s="397"/>
      <c r="P244" s="397"/>
      <c r="Q244" s="397"/>
      <c r="R244" s="397"/>
      <c r="S244" s="397"/>
      <c r="T244" s="397"/>
      <c r="U244" s="397"/>
      <c r="V244" s="397"/>
      <c r="W244" s="397"/>
      <c r="X244" s="397"/>
      <c r="Y244" s="397"/>
      <c r="Z244" s="397"/>
      <c r="AA244" s="397"/>
      <c r="AB244" s="397"/>
      <c r="AC244" s="397"/>
      <c r="AD244" s="762"/>
      <c r="AH244" s="397"/>
      <c r="AI244" s="397"/>
      <c r="AJ244" s="397"/>
      <c r="AK244" s="397"/>
      <c r="AL244" s="397"/>
      <c r="AM244" s="397"/>
      <c r="AN244" s="397"/>
      <c r="AO244" s="397"/>
      <c r="AP244" s="397"/>
      <c r="AQ244" s="397"/>
      <c r="AR244" s="397"/>
      <c r="AS244" s="397"/>
      <c r="AT244" s="397"/>
      <c r="AU244" s="397"/>
      <c r="AV244" s="397"/>
      <c r="AW244" s="397"/>
      <c r="AX244" s="397"/>
      <c r="AY244" s="397"/>
      <c r="AZ244" s="397"/>
      <c r="BA244" s="397"/>
      <c r="BB244" s="397"/>
      <c r="BC244" s="397"/>
    </row>
    <row r="245" spans="1:55" ht="48" customHeight="1" x14ac:dyDescent="0.4">
      <c r="A245" s="126"/>
      <c r="B245" s="126"/>
      <c r="C245" s="126"/>
      <c r="D245" s="236"/>
      <c r="E245" s="1254" t="str">
        <f>"STAÐAN ÁRIÐ "&amp;$A$1</f>
        <v>STAÐAN ÁRIÐ 2024</v>
      </c>
      <c r="F245" s="889"/>
      <c r="G245" s="813"/>
      <c r="H245" s="813"/>
      <c r="I245" s="813"/>
      <c r="J245" s="813"/>
      <c r="K245" s="813"/>
      <c r="L245" s="813"/>
      <c r="M245" s="813"/>
      <c r="O245" s="1256" t="s">
        <v>403</v>
      </c>
      <c r="P245" s="1258" t="s">
        <v>416</v>
      </c>
      <c r="Q245" s="1259"/>
      <c r="R245" s="1259"/>
      <c r="S245" s="1259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G245" s="1254" t="str">
        <f>$AG$6</f>
        <v>2024 EMISSIONS</v>
      </c>
      <c r="AH245" s="811"/>
      <c r="AI245" s="812"/>
      <c r="AJ245" s="812"/>
      <c r="AK245" s="812"/>
      <c r="AL245" s="812"/>
      <c r="AM245" s="812"/>
      <c r="AN245" s="813"/>
      <c r="AO245" s="812"/>
      <c r="AP245" s="228"/>
      <c r="AQ245" s="1254" t="str">
        <f>$AQ$6</f>
        <v>OUTLOOKS</v>
      </c>
      <c r="AR245" s="1258" t="str">
        <f>$AR$6</f>
        <v>Estimated change in emissions based on
With Existing Measures scenario</v>
      </c>
      <c r="AS245" s="1259"/>
      <c r="AT245" s="1259"/>
      <c r="AU245" s="1260"/>
      <c r="AV245" s="1274" t="str">
        <f>$AV$6</f>
        <v>Estimated change in emissions based on
With Addiotional Measures scenario</v>
      </c>
      <c r="AW245" s="1259"/>
      <c r="AX245" s="8"/>
      <c r="AY245" s="8"/>
      <c r="AZ245" s="8"/>
      <c r="BA245" s="8"/>
      <c r="BB245" s="8"/>
      <c r="BC245" s="8"/>
    </row>
    <row r="246" spans="1:55" s="40" customFormat="1" ht="17.399999999999999" x14ac:dyDescent="0.4">
      <c r="A246" s="126"/>
      <c r="B246" s="126"/>
      <c r="C246" s="126"/>
      <c r="D246" s="245" t="s">
        <v>48</v>
      </c>
      <c r="E246" s="1254"/>
      <c r="F246" s="1250" t="str">
        <f>"Losun "&amp;$A$1</f>
        <v>Losun 2024</v>
      </c>
      <c r="G246" s="1251"/>
      <c r="H246" s="1252" t="str">
        <f>"Breyting frá "&amp;$B$3</f>
        <v>Breyting frá 2023</v>
      </c>
      <c r="I246" s="1251"/>
      <c r="J246" s="1252" t="str">
        <f>"Breyting frá "&amp;$B$2</f>
        <v>Breyting frá 2005</v>
      </c>
      <c r="K246" s="1251"/>
      <c r="L246" s="1252" t="str">
        <f>"Breyting frá "&amp;$B$1</f>
        <v>Breyting frá 1990</v>
      </c>
      <c r="M246" s="1253"/>
      <c r="N246" s="240"/>
      <c r="O246" s="1256"/>
      <c r="P246" s="1252" t="s">
        <v>417</v>
      </c>
      <c r="Q246" s="1251"/>
      <c r="R246" s="1252" t="s">
        <v>418</v>
      </c>
      <c r="S246" s="1251"/>
      <c r="AD246" s="762"/>
      <c r="AG246" s="1254"/>
      <c r="AH246" s="1250" t="str">
        <f>$AH$7</f>
        <v>Emissions in 2023</v>
      </c>
      <c r="AI246" s="1251"/>
      <c r="AJ246" s="1252" t="str">
        <f>$AJ$7</f>
        <v>Change from 2022</v>
      </c>
      <c r="AK246" s="1251"/>
      <c r="AL246" s="1252" t="str">
        <f>$AL$7</f>
        <v>Change from 2005</v>
      </c>
      <c r="AM246" s="1251"/>
      <c r="AN246" s="1252" t="str">
        <f>$AN$7</f>
        <v>Change from 1990</v>
      </c>
      <c r="AO246" s="1253"/>
      <c r="AP246" s="228"/>
      <c r="AQ246" s="1254"/>
      <c r="AR246" s="1250" t="str">
        <f>$AR$7</f>
        <v>2030 compared to 2005</v>
      </c>
      <c r="AS246" s="1251"/>
      <c r="AT246" s="1252" t="str">
        <f>$AT$7</f>
        <v>2055 compared to 1990</v>
      </c>
      <c r="AU246" s="1251"/>
      <c r="AV246" s="1252" t="str">
        <f>$AR$7</f>
        <v>2030 compared to 2005</v>
      </c>
      <c r="AW246" s="1251"/>
    </row>
    <row r="247" spans="1:55" ht="17.399999999999999" thickBot="1" x14ac:dyDescent="0.45">
      <c r="A247" s="126"/>
      <c r="D247" s="236" t="s">
        <v>48</v>
      </c>
      <c r="E247" s="1255"/>
      <c r="F247" s="790" t="s">
        <v>428</v>
      </c>
      <c r="G247" s="791" t="s">
        <v>4</v>
      </c>
      <c r="H247" s="790" t="str">
        <f>$F$8</f>
        <v>Þús. tonn CO₂-íg.</v>
      </c>
      <c r="I247" s="791" t="s">
        <v>4</v>
      </c>
      <c r="J247" s="790" t="str">
        <f>$F$8</f>
        <v>Þús. tonn CO₂-íg.</v>
      </c>
      <c r="K247" s="791" t="s">
        <v>4</v>
      </c>
      <c r="L247" s="790" t="str">
        <f>$F$8</f>
        <v>Þús. tonn CO₂-íg.</v>
      </c>
      <c r="M247" s="790" t="s">
        <v>4</v>
      </c>
      <c r="O247" s="1257"/>
      <c r="P247" s="790" t="str">
        <f>$F$8</f>
        <v>Þús. tonn CO₂-íg.</v>
      </c>
      <c r="Q247" s="791" t="s">
        <v>4</v>
      </c>
      <c r="R247" s="790" t="str">
        <f>$F$8</f>
        <v>Þús. tonn CO₂-íg.</v>
      </c>
      <c r="S247" s="790" t="s">
        <v>4</v>
      </c>
      <c r="T247" s="8"/>
      <c r="U247" s="8"/>
      <c r="V247" s="8"/>
      <c r="W247" s="8"/>
      <c r="X247" s="8"/>
      <c r="Y247" s="8"/>
      <c r="Z247" s="8"/>
      <c r="AA247" s="8"/>
      <c r="AB247" s="8"/>
      <c r="AC247" s="8"/>
      <c r="AG247" s="1255"/>
      <c r="AH247" s="790" t="str">
        <f>$AH$8</f>
        <v>Thousand tons CO₂e</v>
      </c>
      <c r="AI247" s="791" t="s">
        <v>4</v>
      </c>
      <c r="AJ247" s="790" t="str">
        <f>$AH$8</f>
        <v>Thousand tons CO₂e</v>
      </c>
      <c r="AK247" s="791" t="s">
        <v>4</v>
      </c>
      <c r="AL247" s="790" t="str">
        <f>$F$8</f>
        <v>Þús. tonn CO₂-íg.</v>
      </c>
      <c r="AM247" s="791" t="s">
        <v>4</v>
      </c>
      <c r="AN247" s="790" t="str">
        <f>$AH$8</f>
        <v>Thousand tons CO₂e</v>
      </c>
      <c r="AO247" s="790" t="s">
        <v>4</v>
      </c>
      <c r="AP247" s="228"/>
      <c r="AQ247" s="1255"/>
      <c r="AR247" s="790" t="str">
        <f>$AH$8</f>
        <v>Thousand tons CO₂e</v>
      </c>
      <c r="AS247" s="791" t="s">
        <v>4</v>
      </c>
      <c r="AT247" s="790" t="str">
        <f>$AH$8</f>
        <v>Thousand tons CO₂e</v>
      </c>
      <c r="AU247" s="791" t="s">
        <v>4</v>
      </c>
      <c r="AV247" s="790" t="str">
        <f>$AH$8</f>
        <v>Thousand tons CO₂e</v>
      </c>
      <c r="AW247" s="790" t="s">
        <v>4</v>
      </c>
      <c r="AX247" s="8"/>
      <c r="AY247" s="8"/>
      <c r="AZ247" s="8"/>
      <c r="BA247" s="8"/>
      <c r="BB247" s="8"/>
      <c r="BC247" s="8"/>
    </row>
    <row r="248" spans="1:55" s="40" customFormat="1" ht="21" customHeight="1" thickTop="1" x14ac:dyDescent="0.4">
      <c r="A248" s="50" t="s">
        <v>51</v>
      </c>
      <c r="B248" s="1038" t="s">
        <v>281</v>
      </c>
      <c r="C248" s="1038" t="s">
        <v>287</v>
      </c>
      <c r="D248" s="245" t="s">
        <v>48</v>
      </c>
      <c r="E248" s="794" t="str">
        <f>'Talnagögn | Numerical Data'!$D$50</f>
        <v>Vegasamgöngur</v>
      </c>
      <c r="F248" s="891" cm="1">
        <f t="array" ref="F248">INDEX('Talnagögn | Numerical Data'!$1:$1048576, _xlfn.XMATCH($A248,'Talnagögn | Numerical Data'!$A:$A), _xlfn.XMATCH($A$1,'Talnagögn | Numerical Data'!$1:$1))</f>
        <v>898.35428884904547</v>
      </c>
      <c r="G248" s="800">
        <f t="shared" ref="G248:G256" si="2">F248/$F$256</f>
        <v>0.48328048592132838</v>
      </c>
      <c r="H248" s="891" cm="1">
        <f t="array" ref="H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_xlfn.XMATCH($B$3,'Talnagögn | Numerical Data'!$1:$1))</f>
        <v>-22.926836795488953</v>
      </c>
      <c r="I248" s="807" cm="1">
        <f t="array" ref="I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_xlfn.XMATCH($B$3,'Talnagögn | Numerical Data'!$1:$1))-1</f>
        <v>-2.4885820578869677E-2</v>
      </c>
      <c r="J248" s="891" cm="1">
        <f t="array" ref="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_xlfn.XMATCH($B$2,'Talnagögn | Numerical Data'!$1:$1))</f>
        <v>123.36711209011344</v>
      </c>
      <c r="K248" s="800" cm="1">
        <f t="array" ref="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_xlfn.XMATCH($B$2,'Talnagögn | Numerical Data'!$1:$1))-1</f>
        <v>0.1591860043491895</v>
      </c>
      <c r="L248" s="891" cm="1">
        <f t="array" ref="L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_xlfn.XMATCH($B$1,'Talnagögn | Numerical Data'!$1:$1))</f>
        <v>367.65336571275577</v>
      </c>
      <c r="M248" s="792" cm="1">
        <f t="array" ref="M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_xlfn.XMATCH($B$1,'Talnagögn | Numerical Data'!$1:$1))-1</f>
        <v>0.69276941057503771</v>
      </c>
      <c r="N248" s="397"/>
      <c r="O248" s="794" t="str">
        <f>'Talnagögn | Numerical Data'!$D$50</f>
        <v>Vegasamgöngur</v>
      </c>
      <c r="P248" s="891" cm="1">
        <f t="array" ref="P248">INDEX('Talnagögn | Numerical Data'!$1:$1048576,_xlfn.XMATCH($B248,'Talnagögn | Numerical Data'!$B:$B),_xlfn.XMATCH($B$4,'Talnagögn | Numerical Data'!$1:$1))-INDEX('Talnagögn | Numerical Data'!$1:$1048576,_xlfn.XMATCH($A248,'Talnagögn | Numerical Data'!$A:$A),_xlfn.XMATCH($B$2,'Talnagögn | Numerical Data'!$1:$1))</f>
        <v>37.352288864814909</v>
      </c>
      <c r="Q248" s="807" cm="1">
        <f t="array" ref="Q248">INDEX('Talnagögn | Numerical Data'!$1:$1048576,_xlfn.XMATCH($B248,'Talnagögn | Numerical Data'!$B:$B),_xlfn.XMATCH($B$4,'Talnagögn | Numerical Data'!$1:$1))/INDEX('Talnagögn | Numerical Data'!$1:$1048576,_xlfn.XMATCH($A248,'Talnagögn | Numerical Data'!$A:$A),_xlfn.XMATCH($B$2,'Talnagögn | Numerical Data'!$1:$1))-1</f>
        <v>4.8197299239228331E-2</v>
      </c>
      <c r="R248" s="891" cm="1">
        <f t="array" ref="R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Data'!$A:$A),_xlfn.XMATCH($B$1,'Talnagögn | Numerical Data'!$1:$1))</f>
        <v>-520.82772316920898</v>
      </c>
      <c r="S248" s="1083" cm="1">
        <f t="array" ref="S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Data'!$A:$A),_xlfn.XMATCH($B$1,'Talnagögn | Numerical Data'!$1:$1))-1</f>
        <v>-0.98139592464107106</v>
      </c>
      <c r="AD248" s="760"/>
      <c r="AF248" s="235"/>
      <c r="AG248" s="794" t="str">
        <f>'Talnagögn | Numerical Data'!$E$50</f>
        <v>Road Transport</v>
      </c>
      <c r="AH248" s="891" cm="1">
        <f t="array" ref="AH248">INDEX('Talnagögn | Numerical Data'!$1:$1048576, _xlfn.XMATCH($A248,'Talnagögn | Numerical Data'!$A:$A), _xlfn.XMATCH($A$1,'Talnagögn | Numerical Data'!$1:$1))</f>
        <v>898.35428884904547</v>
      </c>
      <c r="AI248" s="800">
        <f t="shared" ref="AI248:AI256" si="3">AH248/$F$256</f>
        <v>0.48328048592132838</v>
      </c>
      <c r="AJ248" s="891" cm="1">
        <f t="array" ref="A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_xlfn.XMATCH($B$3,'Talnagögn | Numerical Data'!$1:$1))</f>
        <v>-22.926836795488953</v>
      </c>
      <c r="AK248" s="807" cm="1">
        <f t="array" ref="A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_xlfn.XMATCH($B$3,'Talnagögn | Numerical Data'!$1:$1))-1</f>
        <v>-2.4885820578869677E-2</v>
      </c>
      <c r="AL248" s="891" cm="1">
        <f t="array" ref="AL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_xlfn.XMATCH($B$2,'Talnagögn | Numerical Data'!$1:$1))</f>
        <v>123.36711209011344</v>
      </c>
      <c r="AM248" s="800" cm="1">
        <f t="array" ref="AM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_xlfn.XMATCH($B$2,'Talnagögn | Numerical Data'!$1:$1))-1</f>
        <v>0.1591860043491895</v>
      </c>
      <c r="AN248" s="891" cm="1">
        <f t="array" ref="AN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_xlfn.XMATCH($B$1,'Talnagögn | Numerical Data'!$1:$1))</f>
        <v>367.65336571275577</v>
      </c>
      <c r="AO248" s="792" cm="1">
        <f t="array" ref="AO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_xlfn.XMATCH($B$1,'Talnagögn | Numerical Data'!$1:$1))-1</f>
        <v>0.69276941057503771</v>
      </c>
      <c r="AP248" s="397"/>
      <c r="AQ248" s="794" t="str">
        <f>'Talnagögn | Numerical Data'!$E$50</f>
        <v>Road Transport</v>
      </c>
      <c r="AR248" s="891" cm="1">
        <f t="array" ref="AR248">INDEX('Talnagögn | Numerical Data'!$1:$1048576,_xlfn.XMATCH($B248,'Talnagögn | Numerical Data'!$B:$B),_xlfn.XMATCH($B$4,'Talnagögn | Numerical Data'!$1:$1))-INDEX('Talnagögn | Numerical Data'!$1:$1048576,_xlfn.XMATCH($A248,'Talnagögn | Numerical Data'!$A:$A),_xlfn.XMATCH($B$2,'Talnagögn | Numerical Data'!$1:$1))</f>
        <v>37.352288864814909</v>
      </c>
      <c r="AS248" s="807" cm="1">
        <f t="array" ref="AS248">INDEX('Talnagögn | Numerical Data'!$1:$1048576,_xlfn.XMATCH($B248,'Talnagögn | Numerical Data'!$B:$B),_xlfn.XMATCH($B$4,'Talnagögn | Numerical Data'!$1:$1))/INDEX('Talnagögn | Numerical Data'!$1:$1048576,_xlfn.XMATCH($A248,'Talnagögn | Numerical Data'!$A:$A),_xlfn.XMATCH($B$2,'Talnagögn | Numerical Data'!$1:$1))-1</f>
        <v>4.8197299239228331E-2</v>
      </c>
      <c r="AT248" s="891" cm="1">
        <f t="array" ref="AT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Data'!$A:$A),_xlfn.XMATCH($B$1,'Talnagögn | Numerical Data'!$1:$1))</f>
        <v>-520.82772316920898</v>
      </c>
      <c r="AU248" s="800" cm="1">
        <f t="array" ref="AU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Data'!$A:$A),_xlfn.XMATCH($B$1,'Talnagögn | Numerical Data'!$1:$1))-1</f>
        <v>-0.98139592464107106</v>
      </c>
      <c r="AV248" s="891" t="e" cm="1">
        <f t="array" ref="AV248">INDEX('Talnagögn | Numerical Data'!$1:$1048576,_xlfn.XMATCH($C248,'Talnagögn | Numerical Data'!$B:$B),_xlfn.XMATCH($B$4,'Talnagögn | Numerical Data'!$1:$1))-INDEX('Talnagögn | Numerical Data'!$1:$1048576,_xlfn.XMATCH($A248,'Talnagögn | Numerical Data'!$A:$A),_xlfn.XMATCH($B$2,'Talnagögn | Numerical Data'!$1:$1))</f>
        <v>#N/A</v>
      </c>
      <c r="AW248" s="1083" t="e" cm="1">
        <f t="array" ref="AW248">INDEX('Talnagögn | Numerical Data'!$1:$1048576,_xlfn.XMATCH($C248,'Talnagögn | Numerical Data'!$B:$B),_xlfn.XMATCH($B$4,'Talnagögn | Numerical Data'!$1:$1))/INDEX('Talnagögn | Numerical Data'!$1:$1048576,_xlfn.XMATCH($A248,'Talnagögn | Numerical Data'!$A:$A),_xlfn.XMATCH($B$2,'Talnagögn | Numerical Data'!$1:$1))-1</f>
        <v>#N/A</v>
      </c>
    </row>
    <row r="249" spans="1:55" s="40" customFormat="1" ht="21" customHeight="1" x14ac:dyDescent="0.4">
      <c r="A249" s="50" t="s">
        <v>50</v>
      </c>
      <c r="B249" s="1038" t="s">
        <v>280</v>
      </c>
      <c r="C249" s="1038" t="s">
        <v>286</v>
      </c>
      <c r="D249" s="245" t="s">
        <v>48</v>
      </c>
      <c r="E249" s="795" t="str">
        <f>'Talnagögn | Numerical Data'!$D$49</f>
        <v>Fiskiskip</v>
      </c>
      <c r="F249" s="893" cm="1">
        <f t="array" ref="F249">INDEX('Talnagögn | Numerical Data'!$1:$1048576, _xlfn.XMATCH($A249,'Talnagögn | Numerical Data'!$A:$A), _xlfn.XMATCH($A$1,'Talnagögn | Numerical Data'!$1:$1))</f>
        <v>519.47716734952905</v>
      </c>
      <c r="G249" s="802">
        <f t="shared" si="2"/>
        <v>0.27945898514422435</v>
      </c>
      <c r="H249" s="891" cm="1">
        <f t="array" ref="H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_xlfn.XMATCH($B$3,'Talnagögn | Numerical Data'!$1:$1))</f>
        <v>34.141952595727957</v>
      </c>
      <c r="I249" s="801" cm="1">
        <f t="array" ref="I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_xlfn.XMATCH($B$3,'Talnagögn | Numerical Data'!$1:$1))-1</f>
        <v>7.0347157094395874E-2</v>
      </c>
      <c r="J249" s="893" cm="1">
        <f t="array" ref="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_xlfn.XMATCH($B$2,'Talnagögn | Numerical Data'!$1:$1))</f>
        <v>-222.79862960805031</v>
      </c>
      <c r="K249" s="802" cm="1">
        <f t="array" ref="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_xlfn.XMATCH($B$2,'Talnagögn | Numerical Data'!$1:$1))-1</f>
        <v>-0.30015612865359687</v>
      </c>
      <c r="L249" s="893" cm="1">
        <f t="array" ref="L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_xlfn.XMATCH($B$1,'Talnagögn | Numerical Data'!$1:$1))</f>
        <v>-240.96026980744898</v>
      </c>
      <c r="M249" s="792" cm="1">
        <f t="array" ref="M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_xlfn.XMATCH($B$1,'Talnagögn | Numerical Data'!$1:$1))-1</f>
        <v>-0.31687060372555964</v>
      </c>
      <c r="N249" s="397"/>
      <c r="O249" s="795" t="str">
        <f>'Talnagögn | Numerical Data'!$D$49</f>
        <v>Fiskiskip</v>
      </c>
      <c r="P249" s="891" cm="1">
        <f t="array" ref="P249">INDEX('Talnagögn | Numerical Data'!$1:$1048576,_xlfn.XMATCH($B249,'Talnagögn | Numerical Data'!$B:$B),_xlfn.XMATCH($B$4,'Talnagögn | Numerical Data'!$1:$1))-INDEX('Talnagögn | Numerical Data'!$1:$1048576,_xlfn.XMATCH($A249,'Talnagögn | Numerical Data'!$A:$A),_xlfn.XMATCH($B$2,'Talnagögn | Numerical Data'!$1:$1))</f>
        <v>-318.68852723050662</v>
      </c>
      <c r="Q249" s="802" cm="1">
        <f t="array" ref="Q249">INDEX('Talnagögn | Numerical Data'!$1:$1048576,_xlfn.XMATCH($B249,'Talnagögn | Numerical Data'!$B:$B),_xlfn.XMATCH($B$4,'Talnagögn | Numerical Data'!$1:$1))/INDEX('Talnagögn | Numerical Data'!$1:$1048576,_xlfn.XMATCH($A249,'Talnagögn | Numerical Data'!$A:$A),_xlfn.XMATCH($B$2,'Talnagögn | Numerical Data'!$1:$1))-1</f>
        <v>-0.42933977981868576</v>
      </c>
      <c r="R249" s="891" cm="1">
        <f t="array" ref="R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Data'!$A:$A),_xlfn.XMATCH($B$1,'Talnagögn | Numerical Data'!$1:$1))</f>
        <v>-708.50562492953702</v>
      </c>
      <c r="S249" s="792" cm="1">
        <f t="array" ref="S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Data'!$A:$A),_xlfn.XMATCH($B$1,'Talnagögn | Numerical Data'!$1:$1))-1</f>
        <v>-0.9317079753180002</v>
      </c>
      <c r="AD249" s="760"/>
      <c r="AF249" s="235"/>
      <c r="AG249" s="795" t="str">
        <f>'Talnagögn | Numerical Data'!$E$49</f>
        <v>Fishing</v>
      </c>
      <c r="AH249" s="893" cm="1">
        <f t="array" ref="AH249">INDEX('Talnagögn | Numerical Data'!$1:$1048576, _xlfn.XMATCH($A249,'Talnagögn | Numerical Data'!$A:$A), _xlfn.XMATCH($A$1,'Talnagögn | Numerical Data'!$1:$1))</f>
        <v>519.47716734952905</v>
      </c>
      <c r="AI249" s="802">
        <f t="shared" si="3"/>
        <v>0.27945898514422435</v>
      </c>
      <c r="AJ249" s="891" cm="1">
        <f t="array" ref="A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_xlfn.XMATCH($B$3,'Talnagögn | Numerical Data'!$1:$1))</f>
        <v>34.141952595727957</v>
      </c>
      <c r="AK249" s="801" cm="1">
        <f t="array" ref="A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_xlfn.XMATCH($B$3,'Talnagögn | Numerical Data'!$1:$1))-1</f>
        <v>7.0347157094395874E-2</v>
      </c>
      <c r="AL249" s="893" cm="1">
        <f t="array" ref="AL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_xlfn.XMATCH($B$2,'Talnagögn | Numerical Data'!$1:$1))</f>
        <v>-222.79862960805031</v>
      </c>
      <c r="AM249" s="802" cm="1">
        <f t="array" ref="AM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_xlfn.XMATCH($B$2,'Talnagögn | Numerical Data'!$1:$1))-1</f>
        <v>-0.30015612865359687</v>
      </c>
      <c r="AN249" s="893" cm="1">
        <f t="array" ref="AN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_xlfn.XMATCH($B$1,'Talnagögn | Numerical Data'!$1:$1))</f>
        <v>-240.96026980744898</v>
      </c>
      <c r="AO249" s="792" cm="1">
        <f t="array" ref="AO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_xlfn.XMATCH($B$1,'Talnagögn | Numerical Data'!$1:$1))-1</f>
        <v>-0.31687060372555964</v>
      </c>
      <c r="AP249" s="397"/>
      <c r="AQ249" s="795" t="str">
        <f>'Talnagögn | Numerical Data'!$E$49</f>
        <v>Fishing</v>
      </c>
      <c r="AR249" s="891" cm="1">
        <f t="array" ref="AR249">INDEX('Talnagögn | Numerical Data'!$1:$1048576,_xlfn.XMATCH($B249,'Talnagögn | Numerical Data'!$B:$B),_xlfn.XMATCH($B$4,'Talnagögn | Numerical Data'!$1:$1))-INDEX('Talnagögn | Numerical Data'!$1:$1048576,_xlfn.XMATCH($A249,'Talnagögn | Numerical Data'!$A:$A),_xlfn.XMATCH($B$2,'Talnagögn | Numerical Data'!$1:$1))</f>
        <v>-318.68852723050662</v>
      </c>
      <c r="AS249" s="802" cm="1">
        <f t="array" ref="AS249">INDEX('Talnagögn | Numerical Data'!$1:$1048576,_xlfn.XMATCH($B249,'Talnagögn | Numerical Data'!$B:$B),_xlfn.XMATCH($B$4,'Talnagögn | Numerical Data'!$1:$1))/INDEX('Talnagögn | Numerical Data'!$1:$1048576,_xlfn.XMATCH($A249,'Talnagögn | Numerical Data'!$A:$A),_xlfn.XMATCH($B$2,'Talnagögn | Numerical Data'!$1:$1))-1</f>
        <v>-0.42933977981868576</v>
      </c>
      <c r="AT249" s="891" cm="1">
        <f t="array" ref="AT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Data'!$A:$A),_xlfn.XMATCH($B$1,'Talnagögn | Numerical Data'!$1:$1))</f>
        <v>-708.50562492953702</v>
      </c>
      <c r="AU249" s="802" cm="1">
        <f t="array" ref="AU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Data'!$A:$A),_xlfn.XMATCH($B$1,'Talnagögn | Numerical Data'!$1:$1))-1</f>
        <v>-0.9317079753180002</v>
      </c>
      <c r="AV249" s="891" t="e" cm="1">
        <f t="array" ref="AV249">INDEX('Talnagögn | Numerical Data'!$1:$1048576,_xlfn.XMATCH($C249,'Talnagögn | Numerical Data'!$B:$B),_xlfn.XMATCH($B$4,'Talnagögn | Numerical Data'!$1:$1))-INDEX('Talnagögn | Numerical Data'!$1:$1048576,_xlfn.XMATCH($A249,'Talnagögn | Numerical Data'!$A:$A),_xlfn.XMATCH($B$2,'Talnagögn | Numerical Data'!$1:$1))</f>
        <v>#N/A</v>
      </c>
      <c r="AW249" s="792" t="e" cm="1">
        <f t="array" ref="AW249">INDEX('Talnagögn | Numerical Data'!$1:$1048576,_xlfn.XMATCH($C249,'Talnagögn | Numerical Data'!$B:$B),_xlfn.XMATCH($B$4,'Talnagögn | Numerical Data'!$1:$1))/INDEX('Talnagögn | Numerical Data'!$1:$1048576,_xlfn.XMATCH($A249,'Talnagögn | Numerical Data'!$A:$A),_xlfn.XMATCH($B$2,'Talnagögn | Numerical Data'!$1:$1))-1</f>
        <v>#N/A</v>
      </c>
    </row>
    <row r="250" spans="1:55" s="40" customFormat="1" ht="21" customHeight="1" x14ac:dyDescent="0.4">
      <c r="A250" s="242" t="s">
        <v>55</v>
      </c>
      <c r="B250" s="1038" t="s">
        <v>282</v>
      </c>
      <c r="C250" s="1038" t="s">
        <v>288</v>
      </c>
      <c r="D250" s="245" t="s">
        <v>48</v>
      </c>
      <c r="E250" s="796" t="str">
        <f>'Talnagögn | Numerical Data'!$D$60</f>
        <v>Jarðvarmavirkjanir</v>
      </c>
      <c r="F250" s="891" cm="1">
        <f t="array" ref="F250">INDEX('Talnagögn | Numerical Data'!$1:$1048576, _xlfn.XMATCH($A250,'Talnagögn | Numerical Data'!$A:$A), _xlfn.XMATCH($A$1,'Talnagögn | Numerical Data'!$1:$1))</f>
        <v>223.69103641446083</v>
      </c>
      <c r="G250" s="802">
        <f t="shared" si="2"/>
        <v>0.12033728131150676</v>
      </c>
      <c r="H250" s="891" cm="1">
        <f t="array" ref="H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_xlfn.XMATCH($B$3,'Talnagögn | Numerical Data'!$1:$1))</f>
        <v>46.936297447964222</v>
      </c>
      <c r="I250" s="802" cm="1">
        <f t="array" ref="I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_xlfn.XMATCH($B$3,'Talnagögn | Numerical Data'!$1:$1))-1</f>
        <v>0.26554477533335552</v>
      </c>
      <c r="J250" s="891" cm="1">
        <f t="array" ref="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_xlfn.XMATCH($B$2,'Talnagögn | Numerical Data'!$1:$1))</f>
        <v>104.23456547237924</v>
      </c>
      <c r="K250" s="802" cm="1">
        <f t="array" ref="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_xlfn.XMATCH($B$2,'Talnagögn | Numerical Data'!$1:$1))-1</f>
        <v>0.87257362159072427</v>
      </c>
      <c r="L250" s="891" cm="1">
        <f t="array" ref="L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_xlfn.XMATCH($B$1,'Talnagögn | Numerical Data'!$1:$1))</f>
        <v>162.11344677158331</v>
      </c>
      <c r="M250" s="792" cm="1">
        <f t="array" ref="M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_xlfn.XMATCH($B$1,'Talnagögn | Numerical Data'!$1:$1))-1</f>
        <v>2.6326695752751736</v>
      </c>
      <c r="N250" s="397"/>
      <c r="O250" s="796" t="str">
        <f>'Talnagögn | Numerical Data'!$D$60</f>
        <v>Jarðvarmavirkjanir</v>
      </c>
      <c r="P250" s="891" cm="1">
        <f t="array" ref="P250">INDEX('Talnagögn | Numerical Data'!$1:$1048576,_xlfn.XMATCH($B250,'Talnagögn | Numerical Data'!$B:$B),_xlfn.XMATCH($B$4,'Talnagögn | Numerical Data'!$1:$1))-INDEX('Talnagögn | Numerical Data'!$1:$1048576,_xlfn.XMATCH($A250,'Talnagögn | Numerical Data'!$A:$A),_xlfn.XMATCH($B$2,'Talnagögn | Numerical Data'!$1:$1))</f>
        <v>17.124370554853328</v>
      </c>
      <c r="Q250" s="802" cm="1">
        <f t="array" ref="Q250">INDEX('Talnagögn | Numerical Data'!$1:$1048576,_xlfn.XMATCH($B250,'Talnagögn | Numerical Data'!$B:$B),_xlfn.XMATCH($B$4,'Talnagögn | Numerical Data'!$1:$1))/INDEX('Talnagögn | Numerical Data'!$1:$1048576,_xlfn.XMATCH($A250,'Talnagögn | Numerical Data'!$A:$A),_xlfn.XMATCH($B$2,'Talnagögn | Numerical Data'!$1:$1))-1</f>
        <v>0.14335238953405938</v>
      </c>
      <c r="R250" s="891" cm="1">
        <f t="array" ref="R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Data'!$A:$A),_xlfn.XMATCH($B$1,'Talnagögn | Numerical Data'!$1:$1))</f>
        <v>75.001424834595227</v>
      </c>
      <c r="S250" s="792" cm="1">
        <f t="array" ref="S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Data'!$A:$A),_xlfn.XMATCH($B$1,'Talnagögn | Numerical Data'!$1:$1))-1</f>
        <v>1.2179987113748676</v>
      </c>
      <c r="AD250" s="760"/>
      <c r="AF250" s="235"/>
      <c r="AG250" s="796" t="str">
        <f>'Talnagögn | Numerical Data'!$E$60</f>
        <v>Geothermal Energy</v>
      </c>
      <c r="AH250" s="891" cm="1">
        <f t="array" ref="AH250">INDEX('Talnagögn | Numerical Data'!$1:$1048576, _xlfn.XMATCH($A250,'Talnagögn | Numerical Data'!$A:$A), _xlfn.XMATCH($A$1,'Talnagögn | Numerical Data'!$1:$1))</f>
        <v>223.69103641446083</v>
      </c>
      <c r="AI250" s="802">
        <f t="shared" si="3"/>
        <v>0.12033728131150676</v>
      </c>
      <c r="AJ250" s="891" cm="1">
        <f t="array" ref="A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_xlfn.XMATCH($B$3,'Talnagögn | Numerical Data'!$1:$1))</f>
        <v>46.936297447964222</v>
      </c>
      <c r="AK250" s="802" cm="1">
        <f t="array" ref="A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_xlfn.XMATCH($B$3,'Talnagögn | Numerical Data'!$1:$1))-1</f>
        <v>0.26554477533335552</v>
      </c>
      <c r="AL250" s="891" cm="1">
        <f t="array" ref="AL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_xlfn.XMATCH($B$2,'Talnagögn | Numerical Data'!$1:$1))</f>
        <v>104.23456547237924</v>
      </c>
      <c r="AM250" s="802" cm="1">
        <f t="array" ref="AM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_xlfn.XMATCH($B$2,'Talnagögn | Numerical Data'!$1:$1))-1</f>
        <v>0.87257362159072427</v>
      </c>
      <c r="AN250" s="891" cm="1">
        <f t="array" ref="AN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_xlfn.XMATCH($B$1,'Talnagögn | Numerical Data'!$1:$1))</f>
        <v>162.11344677158331</v>
      </c>
      <c r="AO250" s="792" cm="1">
        <f t="array" ref="AO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_xlfn.XMATCH($B$1,'Talnagögn | Numerical Data'!$1:$1))-1</f>
        <v>2.6326695752751736</v>
      </c>
      <c r="AP250" s="397"/>
      <c r="AQ250" s="796" t="str">
        <f>'Talnagögn | Numerical Data'!$E$60</f>
        <v>Geothermal Energy</v>
      </c>
      <c r="AR250" s="891" cm="1">
        <f t="array" ref="AR250">INDEX('Talnagögn | Numerical Data'!$1:$1048576,_xlfn.XMATCH($B250,'Talnagögn | Numerical Data'!$B:$B),_xlfn.XMATCH($B$4,'Talnagögn | Numerical Data'!$1:$1))-INDEX('Talnagögn | Numerical Data'!$1:$1048576,_xlfn.XMATCH($A250,'Talnagögn | Numerical Data'!$A:$A),_xlfn.XMATCH($B$2,'Talnagögn | Numerical Data'!$1:$1))</f>
        <v>17.124370554853328</v>
      </c>
      <c r="AS250" s="802" cm="1">
        <f t="array" ref="AS250">INDEX('Talnagögn | Numerical Data'!$1:$1048576,_xlfn.XMATCH($B250,'Talnagögn | Numerical Data'!$B:$B),_xlfn.XMATCH($B$4,'Talnagögn | Numerical Data'!$1:$1))/INDEX('Talnagögn | Numerical Data'!$1:$1048576,_xlfn.XMATCH($A250,'Talnagögn | Numerical Data'!$A:$A),_xlfn.XMATCH($B$2,'Talnagögn | Numerical Data'!$1:$1))-1</f>
        <v>0.14335238953405938</v>
      </c>
      <c r="AT250" s="891" cm="1">
        <f t="array" ref="AT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Data'!$A:$A),_xlfn.XMATCH($B$1,'Talnagögn | Numerical Data'!$1:$1))</f>
        <v>75.001424834595227</v>
      </c>
      <c r="AU250" s="802" cm="1">
        <f t="array" ref="AU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Data'!$A:$A),_xlfn.XMATCH($B$1,'Talnagögn | Numerical Data'!$1:$1))-1</f>
        <v>1.2179987113748676</v>
      </c>
      <c r="AV250" s="891" t="e" cm="1">
        <f t="array" ref="AV250">INDEX('Talnagögn | Numerical Data'!$1:$1048576,_xlfn.XMATCH($C250,'Talnagögn | Numerical Data'!$B:$B),_xlfn.XMATCH($B$4,'Talnagögn | Numerical Data'!$1:$1))-INDEX('Talnagögn | Numerical Data'!$1:$1048576,_xlfn.XMATCH($A250,'Talnagögn | Numerical Data'!$A:$A),_xlfn.XMATCH($B$2,'Talnagögn | Numerical Data'!$1:$1))</f>
        <v>#N/A</v>
      </c>
      <c r="AW250" s="792" t="e" cm="1">
        <f t="array" ref="AW250">INDEX('Talnagögn | Numerical Data'!$1:$1048576,_xlfn.XMATCH($C250,'Talnagögn | Numerical Data'!$B:$B),_xlfn.XMATCH($B$4,'Talnagögn | Numerical Data'!$1:$1))/INDEX('Talnagögn | Numerical Data'!$1:$1048576,_xlfn.XMATCH($A250,'Talnagögn | Numerical Data'!$A:$A),_xlfn.XMATCH($B$2,'Talnagögn | Numerical Data'!$1:$1))-1</f>
        <v>#N/A</v>
      </c>
    </row>
    <row r="251" spans="1:55" s="40" customFormat="1" ht="21" customHeight="1" x14ac:dyDescent="0.4">
      <c r="A251" s="50" t="s">
        <v>93</v>
      </c>
      <c r="B251" s="1038" t="s">
        <v>294</v>
      </c>
      <c r="C251" s="1038" t="s">
        <v>299</v>
      </c>
      <c r="D251" s="245" t="s">
        <v>48</v>
      </c>
      <c r="E251" s="795" t="str">
        <f>'Talnagögn | Numerical Data'!$D$53</f>
        <v>Vélar og tæki</v>
      </c>
      <c r="F251" s="891" cm="1">
        <f t="array" ref="F251">INDEX('Talnagögn | Numerical Data'!$1:$1048576, _xlfn.XMATCH($A251,'Talnagögn | Numerical Data'!$A:$A), _xlfn.XMATCH($A$1,'Talnagögn | Numerical Data'!$1:$1))</f>
        <v>76.484306234264068</v>
      </c>
      <c r="G251" s="801">
        <f t="shared" si="2"/>
        <v>4.1145651711205829E-2</v>
      </c>
      <c r="H251" s="892" cm="1">
        <f t="array" ref="H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_xlfn.XMATCH($B$3,'Talnagögn | Numerical Data'!$1:$1))</f>
        <v>1.5964176179070222</v>
      </c>
      <c r="I251" s="801" cm="1">
        <f t="array" ref="I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_xlfn.XMATCH($B$3,'Talnagögn | Numerical Data'!$1:$1))-1</f>
        <v>2.1317433932278584E-2</v>
      </c>
      <c r="J251" s="891" cm="1">
        <f t="array" ref="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_xlfn.XMATCH($B$2,'Talnagögn | Numerical Data'!$1:$1))</f>
        <v>-160.40823738323118</v>
      </c>
      <c r="K251" s="802" cm="1">
        <f t="array" ref="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_xlfn.XMATCH($B$2,'Talnagögn | Numerical Data'!$1:$1))-1</f>
        <v>-0.67713502051900187</v>
      </c>
      <c r="L251" s="891" cm="1">
        <f t="array" ref="L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_xlfn.XMATCH($B$1,'Talnagögn | Numerical Data'!$1:$1))</f>
        <v>-56.215255572196327</v>
      </c>
      <c r="M251" s="792" cm="1">
        <f t="array" ref="M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_xlfn.XMATCH($B$1,'Talnagögn | Numerical Data'!$1:$1))-1</f>
        <v>-0.42362804222507633</v>
      </c>
      <c r="N251" s="397"/>
      <c r="O251" s="795" t="str">
        <f>'Talnagögn | Numerical Data'!$D$53</f>
        <v>Vélar og tæki</v>
      </c>
      <c r="P251" s="891" cm="1">
        <f t="array" ref="P251">INDEX('Talnagögn | Numerical Data'!$1:$1048576,_xlfn.XMATCH($B251,'Talnagögn | Numerical Data'!$B:$B),_xlfn.XMATCH($B$4,'Talnagögn | Numerical Data'!$1:$1))-INDEX('Talnagögn | Numerical Data'!$1:$1048576,_xlfn.XMATCH($A251,'Talnagögn | Numerical Data'!$A:$A),_xlfn.XMATCH($B$2,'Talnagögn | Numerical Data'!$1:$1))</f>
        <v>-156.57720903625662</v>
      </c>
      <c r="Q251" s="802" cm="1">
        <f t="array" ref="Q251">INDEX('Talnagögn | Numerical Data'!$1:$1048576,_xlfn.XMATCH($B251,'Talnagögn | Numerical Data'!$B:$B),_xlfn.XMATCH($B$4,'Talnagögn | Numerical Data'!$1:$1))/INDEX('Talnagögn | Numerical Data'!$1:$1048576,_xlfn.XMATCH($A251,'Talnagögn | Numerical Data'!$A:$A),_xlfn.XMATCH($B$2,'Talnagögn | Numerical Data'!$1:$1))-1</f>
        <v>-0.66096301152086112</v>
      </c>
      <c r="R251" s="891" cm="1">
        <f t="array" ref="R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Data'!$A:$A),_xlfn.XMATCH($B$1,'Talnagögn | Numerical Data'!$1:$1))</f>
        <v>-92.996604958886749</v>
      </c>
      <c r="S251" s="792" cm="1">
        <f t="array" ref="S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Data'!$A:$A),_xlfn.XMATCH($B$1,'Talnagögn | Numerical Data'!$1:$1))-1</f>
        <v>-0.70080566727507665</v>
      </c>
      <c r="AD251" s="760"/>
      <c r="AF251" s="235"/>
      <c r="AG251" s="795" t="str">
        <f>'Talnagögn | Numerical Data'!$E$53</f>
        <v>Off-Road Vehicles and Other Machinery</v>
      </c>
      <c r="AH251" s="891" cm="1">
        <f t="array" ref="AH251">INDEX('Talnagögn | Numerical Data'!$1:$1048576, _xlfn.XMATCH($A251,'Talnagögn | Numerical Data'!$A:$A), _xlfn.XMATCH($A$1,'Talnagögn | Numerical Data'!$1:$1))</f>
        <v>76.484306234264068</v>
      </c>
      <c r="AI251" s="801">
        <f t="shared" si="3"/>
        <v>4.1145651711205829E-2</v>
      </c>
      <c r="AJ251" s="892" cm="1">
        <f t="array" ref="A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_xlfn.XMATCH($B$3,'Talnagögn | Numerical Data'!$1:$1))</f>
        <v>1.5964176179070222</v>
      </c>
      <c r="AK251" s="801" cm="1">
        <f t="array" ref="A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_xlfn.XMATCH($B$3,'Talnagögn | Numerical Data'!$1:$1))-1</f>
        <v>2.1317433932278584E-2</v>
      </c>
      <c r="AL251" s="891" cm="1">
        <f t="array" ref="AL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_xlfn.XMATCH($B$2,'Talnagögn | Numerical Data'!$1:$1))</f>
        <v>-160.40823738323118</v>
      </c>
      <c r="AM251" s="802" cm="1">
        <f t="array" ref="AM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_xlfn.XMATCH($B$2,'Talnagögn | Numerical Data'!$1:$1))-1</f>
        <v>-0.67713502051900187</v>
      </c>
      <c r="AN251" s="891" cm="1">
        <f t="array" ref="AN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_xlfn.XMATCH($B$1,'Talnagögn | Numerical Data'!$1:$1))</f>
        <v>-56.215255572196327</v>
      </c>
      <c r="AO251" s="792" cm="1">
        <f t="array" ref="AO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_xlfn.XMATCH($B$1,'Talnagögn | Numerical Data'!$1:$1))-1</f>
        <v>-0.42362804222507633</v>
      </c>
      <c r="AP251" s="397"/>
      <c r="AQ251" s="795" t="str">
        <f>'Talnagögn | Numerical Data'!$E$53</f>
        <v>Off-Road Vehicles and Other Machinery</v>
      </c>
      <c r="AR251" s="891" cm="1">
        <f t="array" ref="AR251">INDEX('Talnagögn | Numerical Data'!$1:$1048576,_xlfn.XMATCH($B251,'Talnagögn | Numerical Data'!$B:$B),_xlfn.XMATCH($B$4,'Talnagögn | Numerical Data'!$1:$1))-INDEX('Talnagögn | Numerical Data'!$1:$1048576,_xlfn.XMATCH($A251,'Talnagögn | Numerical Data'!$A:$A),_xlfn.XMATCH($B$2,'Talnagögn | Numerical Data'!$1:$1))</f>
        <v>-156.57720903625662</v>
      </c>
      <c r="AS251" s="802" cm="1">
        <f t="array" ref="AS251">INDEX('Talnagögn | Numerical Data'!$1:$1048576,_xlfn.XMATCH($B251,'Talnagögn | Numerical Data'!$B:$B),_xlfn.XMATCH($B$4,'Talnagögn | Numerical Data'!$1:$1))/INDEX('Talnagögn | Numerical Data'!$1:$1048576,_xlfn.XMATCH($A251,'Talnagögn | Numerical Data'!$A:$A),_xlfn.XMATCH($B$2,'Talnagögn | Numerical Data'!$1:$1))-1</f>
        <v>-0.66096301152086112</v>
      </c>
      <c r="AT251" s="891" cm="1">
        <f t="array" ref="AT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Data'!$A:$A),_xlfn.XMATCH($B$1,'Talnagögn | Numerical Data'!$1:$1))</f>
        <v>-92.996604958886749</v>
      </c>
      <c r="AU251" s="802" cm="1">
        <f t="array" ref="AU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Data'!$A:$A),_xlfn.XMATCH($B$1,'Talnagögn | Numerical Data'!$1:$1))-1</f>
        <v>-0.70080566727507665</v>
      </c>
      <c r="AV251" s="891" t="e" cm="1">
        <f t="array" ref="AV251">INDEX('Talnagögn | Numerical Data'!$1:$1048576,_xlfn.XMATCH($C251,'Talnagögn | Numerical Data'!$B:$B),_xlfn.XMATCH($B$4,'Talnagögn | Numerical Data'!$1:$1))-INDEX('Talnagögn | Numerical Data'!$1:$1048576,_xlfn.XMATCH($A251,'Talnagögn | Numerical Data'!$A:$A),_xlfn.XMATCH($B$2,'Talnagögn | Numerical Data'!$1:$1))</f>
        <v>#N/A</v>
      </c>
      <c r="AW251" s="792" t="e" cm="1">
        <f t="array" ref="AW251">INDEX('Talnagögn | Numerical Data'!$1:$1048576,_xlfn.XMATCH($C251,'Talnagögn | Numerical Data'!$B:$B),_xlfn.XMATCH($B$4,'Talnagögn | Numerical Data'!$1:$1))/INDEX('Talnagögn | Numerical Data'!$1:$1048576,_xlfn.XMATCH($A251,'Talnagögn | Numerical Data'!$A:$A),_xlfn.XMATCH($B$2,'Talnagögn | Numerical Data'!$1:$1))-1</f>
        <v>#N/A</v>
      </c>
    </row>
    <row r="252" spans="1:55" s="40" customFormat="1" ht="21" customHeight="1" x14ac:dyDescent="0.4">
      <c r="A252" s="50" t="s">
        <v>100</v>
      </c>
      <c r="B252" s="1038" t="s">
        <v>295</v>
      </c>
      <c r="C252" s="1038" t="s">
        <v>300</v>
      </c>
      <c r="D252" s="245" t="s">
        <v>48</v>
      </c>
      <c r="E252" s="795" t="str">
        <f>'Talnagögn | Numerical Data'!$D$57</f>
        <v>Eldsneytisbruni vegna staðbundins iðnaðar</v>
      </c>
      <c r="F252" s="891" cm="1">
        <f t="array" ref="F252">INDEX('Talnagögn | Numerical Data'!$1:$1048576, _xlfn.XMATCH($A252,'Talnagögn | Numerical Data'!$A:$A), _xlfn.XMATCH($A$1,'Talnagögn | Numerical Data'!$1:$1))</f>
        <v>79.187330431701042</v>
      </c>
      <c r="G252" s="801">
        <f t="shared" si="2"/>
        <v>4.2599776062599619E-2</v>
      </c>
      <c r="H252" s="891" cm="1">
        <f t="array" ref="H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_xlfn.XMATCH($B$3,'Talnagögn | Numerical Data'!$1:$1))</f>
        <v>22.311950825043603</v>
      </c>
      <c r="I252" s="802" cm="1">
        <f t="array" ref="I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_xlfn.XMATCH($B$3,'Talnagögn | Numerical Data'!$1:$1))-1</f>
        <v>0.39229541814665825</v>
      </c>
      <c r="J252" s="891" cm="1">
        <f t="array" ref="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_xlfn.XMATCH($B$2,'Talnagögn | Numerical Data'!$1:$1))</f>
        <v>-105.97373575488871</v>
      </c>
      <c r="K252" s="802" cm="1">
        <f t="array" ref="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_xlfn.XMATCH($B$2,'Talnagögn | Numerical Data'!$1:$1))-1</f>
        <v>-0.57233271517294726</v>
      </c>
      <c r="L252" s="891" cm="1">
        <f t="array" ref="L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_xlfn.XMATCH($B$1,'Talnagögn | Numerical Data'!$1:$1))</f>
        <v>-159.11466604218546</v>
      </c>
      <c r="M252" s="792" cm="1">
        <f t="array" ref="M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_xlfn.XMATCH($B$1,'Talnagögn | Numerical Data'!$1:$1))-1</f>
        <v>-0.66770177504417805</v>
      </c>
      <c r="N252" s="397"/>
      <c r="O252" s="795" t="str">
        <f>'Talnagögn | Numerical Data'!$D$57</f>
        <v>Eldsneytisbruni vegna staðbundins iðnaðar</v>
      </c>
      <c r="P252" s="891" cm="1">
        <f t="array" ref="P252">INDEX('Talnagögn | Numerical Data'!$1:$1048576,_xlfn.XMATCH($B252,'Talnagögn | Numerical Data'!$B:$B),_xlfn.XMATCH($B$4,'Talnagögn | Numerical Data'!$1:$1))-INDEX('Talnagögn | Numerical Data'!$1:$1048576,_xlfn.XMATCH($A252,'Talnagögn | Numerical Data'!$A:$A),_xlfn.XMATCH($B$2,'Talnagögn | Numerical Data'!$1:$1))</f>
        <v>-137.67636002282109</v>
      </c>
      <c r="Q252" s="802" cm="1">
        <f t="array" ref="Q252">INDEX('Talnagögn | Numerical Data'!$1:$1048576,_xlfn.XMATCH($B252,'Talnagögn | Numerical Data'!$B:$B),_xlfn.XMATCH($B$4,'Talnagögn | Numerical Data'!$1:$1))/INDEX('Talnagögn | Numerical Data'!$1:$1048576,_xlfn.XMATCH($A252,'Talnagögn | Numerical Data'!$A:$A),_xlfn.XMATCH($B$2,'Talnagögn | Numerical Data'!$1:$1))-1</f>
        <v>-0.74354918589679342</v>
      </c>
      <c r="R252" s="891" cm="1">
        <f t="array" ref="R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Data'!$A:$A),_xlfn.XMATCH($B$1,'Talnagögn | Numerical Data'!$1:$1))</f>
        <v>-227.05738466257526</v>
      </c>
      <c r="S252" s="792" cm="1">
        <f t="array" ref="S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Data'!$A:$A),_xlfn.XMATCH($B$1,'Talnagögn | Numerical Data'!$1:$1))-1</f>
        <v>-0.95281360635791623</v>
      </c>
      <c r="AD252" s="760"/>
      <c r="AF252" s="235"/>
      <c r="AG252" s="795" t="str">
        <f>'Talnagögn | Numerical Data'!$E$57</f>
        <v>Fuel Combustion in Stationary Industry</v>
      </c>
      <c r="AH252" s="891" cm="1">
        <f t="array" ref="AH252">INDEX('Talnagögn | Numerical Data'!$1:$1048576, _xlfn.XMATCH($A252,'Talnagögn | Numerical Data'!$A:$A), _xlfn.XMATCH($A$1,'Talnagögn | Numerical Data'!$1:$1))</f>
        <v>79.187330431701042</v>
      </c>
      <c r="AI252" s="801">
        <f t="shared" si="3"/>
        <v>4.2599776062599619E-2</v>
      </c>
      <c r="AJ252" s="891" cm="1">
        <f t="array" ref="A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_xlfn.XMATCH($B$3,'Talnagögn | Numerical Data'!$1:$1))</f>
        <v>22.311950825043603</v>
      </c>
      <c r="AK252" s="802" cm="1">
        <f t="array" ref="A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_xlfn.XMATCH($B$3,'Talnagögn | Numerical Data'!$1:$1))-1</f>
        <v>0.39229541814665825</v>
      </c>
      <c r="AL252" s="891" cm="1">
        <f t="array" ref="AL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_xlfn.XMATCH($B$2,'Talnagögn | Numerical Data'!$1:$1))</f>
        <v>-105.97373575488871</v>
      </c>
      <c r="AM252" s="802" cm="1">
        <f t="array" ref="AM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_xlfn.XMATCH($B$2,'Talnagögn | Numerical Data'!$1:$1))-1</f>
        <v>-0.57233271517294726</v>
      </c>
      <c r="AN252" s="891" cm="1">
        <f t="array" ref="AN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_xlfn.XMATCH($B$1,'Talnagögn | Numerical Data'!$1:$1))</f>
        <v>-159.11466604218546</v>
      </c>
      <c r="AO252" s="792" cm="1">
        <f t="array" ref="AO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_xlfn.XMATCH($B$1,'Talnagögn | Numerical Data'!$1:$1))-1</f>
        <v>-0.66770177504417805</v>
      </c>
      <c r="AP252" s="397"/>
      <c r="AQ252" s="795" t="str">
        <f>'Talnagögn | Numerical Data'!$E$57</f>
        <v>Fuel Combustion in Stationary Industry</v>
      </c>
      <c r="AR252" s="891" cm="1">
        <f t="array" ref="AR252">INDEX('Talnagögn | Numerical Data'!$1:$1048576,_xlfn.XMATCH($B252,'Talnagögn | Numerical Data'!$B:$B),_xlfn.XMATCH($B$4,'Talnagögn | Numerical Data'!$1:$1))-INDEX('Talnagögn | Numerical Data'!$1:$1048576,_xlfn.XMATCH($A252,'Talnagögn | Numerical Data'!$A:$A),_xlfn.XMATCH($B$2,'Talnagögn | Numerical Data'!$1:$1))</f>
        <v>-137.67636002282109</v>
      </c>
      <c r="AS252" s="802" cm="1">
        <f t="array" ref="AS252">INDEX('Talnagögn | Numerical Data'!$1:$1048576,_xlfn.XMATCH($B252,'Talnagögn | Numerical Data'!$B:$B),_xlfn.XMATCH($B$4,'Talnagögn | Numerical Data'!$1:$1))/INDEX('Talnagögn | Numerical Data'!$1:$1048576,_xlfn.XMATCH($A252,'Talnagögn | Numerical Data'!$A:$A),_xlfn.XMATCH($B$2,'Talnagögn | Numerical Data'!$1:$1))-1</f>
        <v>-0.74354918589679342</v>
      </c>
      <c r="AT252" s="891" cm="1">
        <f t="array" ref="AT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Data'!$A:$A),_xlfn.XMATCH($B$1,'Talnagögn | Numerical Data'!$1:$1))</f>
        <v>-227.05738466257526</v>
      </c>
      <c r="AU252" s="802" cm="1">
        <f t="array" ref="AU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Data'!$A:$A),_xlfn.XMATCH($B$1,'Talnagögn | Numerical Data'!$1:$1))-1</f>
        <v>-0.95281360635791623</v>
      </c>
      <c r="AV252" s="891" t="e" cm="1">
        <f t="array" ref="AV252">INDEX('Talnagögn | Numerical Data'!$1:$1048576,_xlfn.XMATCH($C252,'Talnagögn | Numerical Data'!$B:$B),_xlfn.XMATCH($B$4,'Talnagögn | Numerical Data'!$1:$1))-INDEX('Talnagögn | Numerical Data'!$1:$1048576,_xlfn.XMATCH($A252,'Talnagögn | Numerical Data'!$A:$A),_xlfn.XMATCH($B$2,'Talnagögn | Numerical Data'!$1:$1))</f>
        <v>#N/A</v>
      </c>
      <c r="AW252" s="792" t="e" cm="1">
        <f t="array" ref="AW252">INDEX('Talnagögn | Numerical Data'!$1:$1048576,_xlfn.XMATCH($C252,'Talnagögn | Numerical Data'!$B:$B),_xlfn.XMATCH($B$4,'Talnagögn | Numerical Data'!$1:$1))/INDEX('Talnagögn | Numerical Data'!$1:$1048576,_xlfn.XMATCH($A252,'Talnagögn | Numerical Data'!$A:$A),_xlfn.XMATCH($B$2,'Talnagögn | Numerical Data'!$1:$1))-1</f>
        <v>#N/A</v>
      </c>
    </row>
    <row r="253" spans="1:55" s="40" customFormat="1" ht="21" customHeight="1" x14ac:dyDescent="0.4">
      <c r="A253" s="50" t="s">
        <v>52</v>
      </c>
      <c r="B253" s="1038" t="s">
        <v>292</v>
      </c>
      <c r="C253" s="1038" t="s">
        <v>297</v>
      </c>
      <c r="D253" s="245" t="s">
        <v>48</v>
      </c>
      <c r="E253" s="795" t="str">
        <f>'Talnagögn | Numerical Data'!$D$51</f>
        <v>Innanlandsflug</v>
      </c>
      <c r="F253" s="891" cm="1">
        <f t="array" ref="F253">INDEX('Talnagögn | Numerical Data'!$1:$1048576, _xlfn.XMATCH($A253,'Talnagögn | Numerical Data'!$A:$A), _xlfn.XMATCH($A$1,'Talnagögn | Numerical Data'!$1:$1))</f>
        <v>20.498994139466671</v>
      </c>
      <c r="G253" s="801">
        <f t="shared" si="2"/>
        <v>1.1027680249973842E-2</v>
      </c>
      <c r="H253" s="892" cm="1">
        <f t="array" ref="H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_xlfn.XMATCH($B$3,'Talnagögn | Numerical Data'!$1:$1))</f>
        <v>-2.011981045066662</v>
      </c>
      <c r="I253" s="801" cm="1">
        <f t="array" ref="I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_xlfn.XMATCH($B$3,'Talnagögn | Numerical Data'!$1:$1))-1</f>
        <v>-8.9377782551554597E-2</v>
      </c>
      <c r="J253" s="892" cm="1">
        <f t="array" ref="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_xlfn.XMATCH($B$2,'Talnagögn | Numerical Data'!$1:$1))</f>
        <v>-5.7064475722666614</v>
      </c>
      <c r="K253" s="802" cm="1">
        <f t="array" ref="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_xlfn.XMATCH($B$2,'Talnagögn | Numerical Data'!$1:$1))-1</f>
        <v>-0.21775811432751513</v>
      </c>
      <c r="L253" s="891" cm="1">
        <f t="array" ref="L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_xlfn.XMATCH($B$1,'Talnagögn | Numerical Data'!$1:$1))</f>
        <v>-13.093695119999996</v>
      </c>
      <c r="M253" s="792" cm="1">
        <f t="array" ref="M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_xlfn.XMATCH($B$1,'Talnagögn | Numerical Data'!$1:$1))-1</f>
        <v>-0.38977811567468046</v>
      </c>
      <c r="N253" s="397"/>
      <c r="O253" s="795" t="str">
        <f>'Talnagögn | Numerical Data'!$D$51</f>
        <v>Innanlandsflug</v>
      </c>
      <c r="P253" s="892" cm="1">
        <f t="array" ref="P253">INDEX('Talnagögn | Numerical Data'!$1:$1048576,_xlfn.XMATCH($B253,'Talnagögn | Numerical Data'!$B:$B),_xlfn.XMATCH($B$4,'Talnagögn | Numerical Data'!$1:$1))-INDEX('Talnagögn | Numerical Data'!$1:$1048576,_xlfn.XMATCH($A253,'Talnagögn | Numerical Data'!$A:$A),_xlfn.XMATCH($B$2,'Talnagögn | Numerical Data'!$1:$1))</f>
        <v>-2.1177052478495426</v>
      </c>
      <c r="Q253" s="801" cm="1">
        <f t="array" ref="Q253">INDEX('Talnagögn | Numerical Data'!$1:$1048576,_xlfn.XMATCH($B253,'Talnagögn | Numerical Data'!$B:$B),_xlfn.XMATCH($B$4,'Talnagögn | Numerical Data'!$1:$1))/INDEX('Talnagögn | Numerical Data'!$1:$1048576,_xlfn.XMATCH($A253,'Talnagögn | Numerical Data'!$A:$A),_xlfn.XMATCH($B$2,'Talnagögn | Numerical Data'!$1:$1))-1</f>
        <v>-8.0811660079797565E-2</v>
      </c>
      <c r="R253" s="891" cm="1">
        <f t="array" ref="R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Data'!$A:$A),_xlfn.XMATCH($B$1,'Talnagögn | Numerical Data'!$1:$1))</f>
        <v>-33.510637232713322</v>
      </c>
      <c r="S253" s="793" cm="1">
        <f t="array" ref="S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Data'!$A:$A),_xlfn.XMATCH($B$1,'Talnagögn | Numerical Data'!$1:$1))-1</f>
        <v>-0.99755744393907897</v>
      </c>
      <c r="AD253" s="760"/>
      <c r="AF253" s="235"/>
      <c r="AG253" s="795" t="str">
        <f>'Talnagögn | Numerical Data'!$E$51</f>
        <v>Domestic Aviation</v>
      </c>
      <c r="AH253" s="891" cm="1">
        <f t="array" ref="AH253">INDEX('Talnagögn | Numerical Data'!$1:$1048576, _xlfn.XMATCH($A253,'Talnagögn | Numerical Data'!$A:$A), _xlfn.XMATCH($A$1,'Talnagögn | Numerical Data'!$1:$1))</f>
        <v>20.498994139466671</v>
      </c>
      <c r="AI253" s="801">
        <f t="shared" si="3"/>
        <v>1.1027680249973842E-2</v>
      </c>
      <c r="AJ253" s="892" cm="1">
        <f t="array" ref="A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_xlfn.XMATCH($B$3,'Talnagögn | Numerical Data'!$1:$1))</f>
        <v>-2.011981045066662</v>
      </c>
      <c r="AK253" s="801" cm="1">
        <f t="array" ref="A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_xlfn.XMATCH($B$3,'Talnagögn | Numerical Data'!$1:$1))-1</f>
        <v>-8.9377782551554597E-2</v>
      </c>
      <c r="AL253" s="892" cm="1">
        <f t="array" ref="AL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_xlfn.XMATCH($B$2,'Talnagögn | Numerical Data'!$1:$1))</f>
        <v>-5.7064475722666614</v>
      </c>
      <c r="AM253" s="802" cm="1">
        <f t="array" ref="AM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_xlfn.XMATCH($B$2,'Talnagögn | Numerical Data'!$1:$1))-1</f>
        <v>-0.21775811432751513</v>
      </c>
      <c r="AN253" s="891" cm="1">
        <f t="array" ref="AN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_xlfn.XMATCH($B$1,'Talnagögn | Numerical Data'!$1:$1))</f>
        <v>-13.093695119999996</v>
      </c>
      <c r="AO253" s="792" cm="1">
        <f t="array" ref="AO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_xlfn.XMATCH($B$1,'Talnagögn | Numerical Data'!$1:$1))-1</f>
        <v>-0.38977811567468046</v>
      </c>
      <c r="AP253" s="397"/>
      <c r="AQ253" s="795" t="str">
        <f>'Talnagögn | Numerical Data'!$E$51</f>
        <v>Domestic Aviation</v>
      </c>
      <c r="AR253" s="892" cm="1">
        <f t="array" ref="AR253">INDEX('Talnagögn | Numerical Data'!$1:$1048576,_xlfn.XMATCH($B253,'Talnagögn | Numerical Data'!$B:$B),_xlfn.XMATCH($B$4,'Talnagögn | Numerical Data'!$1:$1))-INDEX('Talnagögn | Numerical Data'!$1:$1048576,_xlfn.XMATCH($A253,'Talnagögn | Numerical Data'!$A:$A),_xlfn.XMATCH($B$2,'Talnagögn | Numerical Data'!$1:$1))</f>
        <v>-2.1177052478495426</v>
      </c>
      <c r="AS253" s="801" cm="1">
        <f t="array" ref="AS253">INDEX('Talnagögn | Numerical Data'!$1:$1048576,_xlfn.XMATCH($B253,'Talnagögn | Numerical Data'!$B:$B),_xlfn.XMATCH($B$4,'Talnagögn | Numerical Data'!$1:$1))/INDEX('Talnagögn | Numerical Data'!$1:$1048576,_xlfn.XMATCH($A253,'Talnagögn | Numerical Data'!$A:$A),_xlfn.XMATCH($B$2,'Talnagögn | Numerical Data'!$1:$1))-1</f>
        <v>-8.0811660079797565E-2</v>
      </c>
      <c r="AT253" s="891" cm="1">
        <f t="array" ref="AT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Data'!$A:$A),_xlfn.XMATCH($B$1,'Talnagögn | Numerical Data'!$1:$1))</f>
        <v>-33.510637232713322</v>
      </c>
      <c r="AU253" s="801" cm="1">
        <f t="array" ref="AU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Data'!$A:$A),_xlfn.XMATCH($B$1,'Talnagögn | Numerical Data'!$1:$1))-1</f>
        <v>-0.99755744393907897</v>
      </c>
      <c r="AV253" s="894" t="e" cm="1">
        <f t="array" ref="AV253">INDEX('Talnagögn | Numerical Data'!$1:$1048576,_xlfn.XMATCH($C253,'Talnagögn | Numerical Data'!$B:$B),_xlfn.XMATCH($B$4,'Talnagögn | Numerical Data'!$1:$1))-INDEX('Talnagögn | Numerical Data'!$1:$1048576,_xlfn.XMATCH($A253,'Talnagögn | Numerical Data'!$A:$A),_xlfn.XMATCH($B$2,'Talnagögn | Numerical Data'!$1:$1))</f>
        <v>#N/A</v>
      </c>
      <c r="AW253" s="793" t="e" cm="1">
        <f t="array" ref="AW253">INDEX('Talnagögn | Numerical Data'!$1:$1048576,_xlfn.XMATCH($C253,'Talnagögn | Numerical Data'!$B:$B),_xlfn.XMATCH($B$4,'Talnagögn | Numerical Data'!$1:$1))/INDEX('Talnagögn | Numerical Data'!$1:$1048576,_xlfn.XMATCH($A253,'Talnagögn | Numerical Data'!$A:$A),_xlfn.XMATCH($B$2,'Talnagögn | Numerical Data'!$1:$1))-1</f>
        <v>#N/A</v>
      </c>
    </row>
    <row r="254" spans="1:55" s="40" customFormat="1" ht="21" customHeight="1" x14ac:dyDescent="0.4">
      <c r="A254" s="50" t="s">
        <v>53</v>
      </c>
      <c r="B254" s="1038" t="s">
        <v>293</v>
      </c>
      <c r="C254" s="1038" t="s">
        <v>298</v>
      </c>
      <c r="D254" s="245" t="s">
        <v>48</v>
      </c>
      <c r="E254" s="795" t="str">
        <f>'Talnagögn | Numerical Data'!$D$52</f>
        <v>Strandsiglingar</v>
      </c>
      <c r="F254" s="891" cm="1">
        <f t="array" ref="F254">INDEX('Talnagögn | Numerical Data'!$1:$1048576, _xlfn.XMATCH($A254,'Talnagögn | Numerical Data'!$A:$A), _xlfn.XMATCH($A$1,'Talnagögn | Numerical Data'!$1:$1))</f>
        <v>13.457077051192861</v>
      </c>
      <c r="G254" s="803">
        <f t="shared" si="2"/>
        <v>7.2393963240421086E-3</v>
      </c>
      <c r="H254" s="892" cm="1">
        <f t="array" ref="H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_xlfn.XMATCH($B$3,'Talnagögn | Numerical Data'!$1:$1))</f>
        <v>-3.3906473635768464</v>
      </c>
      <c r="I254" s="802" cm="1">
        <f t="array" ref="I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_xlfn.XMATCH($B$3,'Talnagögn | Numerical Data'!$1:$1))-1</f>
        <v>-0.20125254189250652</v>
      </c>
      <c r="J254" s="892" cm="1">
        <f t="array" ref="J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_xlfn.XMATCH($B$2,'Talnagögn | Numerical Data'!$1:$1))</f>
        <v>-9.1457719099126429</v>
      </c>
      <c r="K254" s="802" cm="1">
        <f t="array" ref="K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_xlfn.XMATCH($B$2,'Talnagögn | Numerical Data'!$1:$1))-1</f>
        <v>-0.40462916536099014</v>
      </c>
      <c r="L254" s="891" cm="1">
        <f t="array" ref="L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_xlfn.XMATCH($B$1,'Talnagögn | Numerical Data'!$1:$1))</f>
        <v>-19.448930415476859</v>
      </c>
      <c r="M254" s="792" cm="1">
        <f t="array" ref="M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_xlfn.XMATCH($B$1,'Talnagögn | Numerical Data'!$1:$1))-1</f>
        <v>-0.59104497667110034</v>
      </c>
      <c r="N254" s="397"/>
      <c r="O254" s="795" t="str">
        <f>'Talnagögn | Numerical Data'!$D$52</f>
        <v>Strandsiglingar</v>
      </c>
      <c r="P254" s="892" cm="1">
        <f t="array" ref="P254">INDEX('Talnagögn | Numerical Data'!$1:$1048576,_xlfn.XMATCH($B254,'Talnagögn | Numerical Data'!$B:$B),_xlfn.XMATCH($B$4,'Talnagögn | Numerical Data'!$1:$1))-INDEX('Talnagögn | Numerical Data'!$1:$1048576,_xlfn.XMATCH($A254,'Talnagögn | Numerical Data'!$A:$A),_xlfn.XMATCH($B$2,'Talnagögn | Numerical Data'!$1:$1))</f>
        <v>-8.5926110491812722</v>
      </c>
      <c r="Q254" s="802" cm="1">
        <f t="array" ref="Q254">INDEX('Talnagögn | Numerical Data'!$1:$1048576,_xlfn.XMATCH($B254,'Talnagögn | Numerical Data'!$B:$B),_xlfn.XMATCH($B$4,'Talnagögn | Numerical Data'!$1:$1))/INDEX('Talnagögn | Numerical Data'!$1:$1048576,_xlfn.XMATCH($A254,'Talnagögn | Numerical Data'!$A:$A),_xlfn.XMATCH($B$2,'Talnagögn | Numerical Data'!$1:$1))-1</f>
        <v>-0.38015610616021245</v>
      </c>
      <c r="R254" s="891" cm="1">
        <f t="array" ref="R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Data'!$A:$A),_xlfn.XMATCH($B$1,'Talnagögn | Numerical Data'!$1:$1))</f>
        <v>-32.346546767481449</v>
      </c>
      <c r="S254" s="792" cm="1">
        <f t="array" ref="S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Data'!$A:$A),_xlfn.XMATCH($B$1,'Talnagögn | Numerical Data'!$1:$1))-1</f>
        <v>-0.98299822001332282</v>
      </c>
      <c r="AD254" s="760"/>
      <c r="AF254" s="235"/>
      <c r="AG254" s="795" t="str">
        <f>'Talnagögn | Numerical Data'!$E$52</f>
        <v>Domestic Navigation</v>
      </c>
      <c r="AH254" s="891" cm="1">
        <f t="array" ref="AH254">INDEX('Talnagögn | Numerical Data'!$1:$1048576, _xlfn.XMATCH($A254,'Talnagögn | Numerical Data'!$A:$A), _xlfn.XMATCH($A$1,'Talnagögn | Numerical Data'!$1:$1))</f>
        <v>13.457077051192861</v>
      </c>
      <c r="AI254" s="803">
        <f t="shared" si="3"/>
        <v>7.2393963240421086E-3</v>
      </c>
      <c r="AJ254" s="892" cm="1">
        <f t="array" ref="AJ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_xlfn.XMATCH($B$3,'Talnagögn | Numerical Data'!$1:$1))</f>
        <v>-3.3906473635768464</v>
      </c>
      <c r="AK254" s="802" cm="1">
        <f t="array" ref="AK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_xlfn.XMATCH($B$3,'Talnagögn | Numerical Data'!$1:$1))-1</f>
        <v>-0.20125254189250652</v>
      </c>
      <c r="AL254" s="892" cm="1">
        <f t="array" ref="AL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_xlfn.XMATCH($B$2,'Talnagögn | Numerical Data'!$1:$1))</f>
        <v>-9.1457719099126429</v>
      </c>
      <c r="AM254" s="802" cm="1">
        <f t="array" ref="AM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_xlfn.XMATCH($B$2,'Talnagögn | Numerical Data'!$1:$1))-1</f>
        <v>-0.40462916536099014</v>
      </c>
      <c r="AN254" s="891" cm="1">
        <f t="array" ref="AN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_xlfn.XMATCH($B$1,'Talnagögn | Numerical Data'!$1:$1))</f>
        <v>-19.448930415476859</v>
      </c>
      <c r="AO254" s="792" cm="1">
        <f t="array" ref="AO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_xlfn.XMATCH($B$1,'Talnagögn | Numerical Data'!$1:$1))-1</f>
        <v>-0.59104497667110034</v>
      </c>
      <c r="AP254" s="397"/>
      <c r="AQ254" s="795" t="str">
        <f>'Talnagögn | Numerical Data'!$E$52</f>
        <v>Domestic Navigation</v>
      </c>
      <c r="AR254" s="892" cm="1">
        <f t="array" ref="AR254">INDEX('Talnagögn | Numerical Data'!$1:$1048576,_xlfn.XMATCH($B254,'Talnagögn | Numerical Data'!$B:$B),_xlfn.XMATCH($B$4,'Talnagögn | Numerical Data'!$1:$1))-INDEX('Talnagögn | Numerical Data'!$1:$1048576,_xlfn.XMATCH($A254,'Talnagögn | Numerical Data'!$A:$A),_xlfn.XMATCH($B$2,'Talnagögn | Numerical Data'!$1:$1))</f>
        <v>-8.5926110491812722</v>
      </c>
      <c r="AS254" s="802" cm="1">
        <f t="array" ref="AS254">INDEX('Talnagögn | Numerical Data'!$1:$1048576,_xlfn.XMATCH($B254,'Talnagögn | Numerical Data'!$B:$B),_xlfn.XMATCH($B$4,'Talnagögn | Numerical Data'!$1:$1))/INDEX('Talnagögn | Numerical Data'!$1:$1048576,_xlfn.XMATCH($A254,'Talnagögn | Numerical Data'!$A:$A),_xlfn.XMATCH($B$2,'Talnagögn | Numerical Data'!$1:$1))-1</f>
        <v>-0.38015610616021245</v>
      </c>
      <c r="AT254" s="891" cm="1">
        <f t="array" ref="AT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Data'!$A:$A),_xlfn.XMATCH($B$1,'Talnagögn | Numerical Data'!$1:$1))</f>
        <v>-32.346546767481449</v>
      </c>
      <c r="AU254" s="802" cm="1">
        <f t="array" ref="AU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Data'!$A:$A),_xlfn.XMATCH($B$1,'Talnagögn | Numerical Data'!$1:$1))-1</f>
        <v>-0.98299822001332282</v>
      </c>
      <c r="AV254" s="892" t="e" cm="1">
        <f t="array" ref="AV254">INDEX('Talnagögn | Numerical Data'!$1:$1048576,_xlfn.XMATCH($C254,'Talnagögn | Numerical Data'!$B:$B),_xlfn.XMATCH($B$4,'Talnagögn | Numerical Data'!$1:$1))-INDEX('Talnagögn | Numerical Data'!$1:$1048576,_xlfn.XMATCH($A254,'Talnagögn | Numerical Data'!$A:$A),_xlfn.XMATCH($B$2,'Talnagögn | Numerical Data'!$1:$1))</f>
        <v>#N/A</v>
      </c>
      <c r="AW254" s="793" t="e" cm="1">
        <f t="array" ref="AW254">INDEX('Talnagögn | Numerical Data'!$1:$1048576,_xlfn.XMATCH($C254,'Talnagögn | Numerical Data'!$B:$B),_xlfn.XMATCH($B$4,'Talnagögn | Numerical Data'!$1:$1))/INDEX('Talnagögn | Numerical Data'!$1:$1048576,_xlfn.XMATCH($A254,'Talnagögn | Numerical Data'!$A:$A),_xlfn.XMATCH($B$2,'Talnagögn | Numerical Data'!$1:$1))-1</f>
        <v>#N/A</v>
      </c>
    </row>
    <row r="255" spans="1:55" s="40" customFormat="1" ht="21" customHeight="1" x14ac:dyDescent="0.4">
      <c r="A255" s="50" t="s">
        <v>99</v>
      </c>
      <c r="B255" s="1038" t="s">
        <v>296</v>
      </c>
      <c r="C255" s="1038" t="s">
        <v>301</v>
      </c>
      <c r="D255" s="245" t="s">
        <v>48</v>
      </c>
      <c r="E255" s="797" t="str">
        <f>'Talnagögn | Numerical Data'!$D$61</f>
        <v>Önnur losun</v>
      </c>
      <c r="F255" s="895" cm="1">
        <f t="array" ref="F255">INDEX('Talnagögn | Numerical Data'!$1:$1048576, _xlfn.XMATCH($A255,'Talnagögn | Numerical Data'!$A:$A), _xlfn.XMATCH($A$1,'Talnagögn | Numerical Data'!$1:$1))</f>
        <v>27.717092995372923</v>
      </c>
      <c r="G255" s="804">
        <f t="shared" si="2"/>
        <v>1.4910743275119286E-2</v>
      </c>
      <c r="H255" s="896" cm="1">
        <f t="array" ref="H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_xlfn.XMATCH($B$3,'Talnagögn | Numerical Data'!$1:$1))</f>
        <v>7.6582826989558725</v>
      </c>
      <c r="I255" s="806" cm="1">
        <f t="array" ref="I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_xlfn.XMATCH($B$3,'Talnagögn | Numerical Data'!$1:$1))-1</f>
        <v>0.38179147146746839</v>
      </c>
      <c r="J255" s="895" cm="1">
        <f t="array" ref="J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_xlfn.XMATCH($B$2,'Talnagögn | Numerical Data'!$1:$1))</f>
        <v>-23.22860872594606</v>
      </c>
      <c r="K255" s="806" cm="1">
        <f t="array" ref="K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_xlfn.XMATCH($B$2,'Talnagögn | Numerical Data'!$1:$1))-1</f>
        <v>-0.45594835169824943</v>
      </c>
      <c r="L255" s="895" cm="1">
        <f t="array" ref="L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_xlfn.XMATCH($B$1,'Talnagögn | Numerical Data'!$1:$1))</f>
        <v>-22.625126043983755</v>
      </c>
      <c r="M255" s="798" cm="1">
        <f t="array" ref="M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_xlfn.XMATCH($B$1,'Talnagögn | Numerical Data'!$1:$1))-1</f>
        <v>-0.44942647494930288</v>
      </c>
      <c r="N255" s="397"/>
      <c r="O255" s="797" t="str">
        <f>'Talnagögn | Numerical Data'!$D$61</f>
        <v>Önnur losun</v>
      </c>
      <c r="P255" s="895" cm="1">
        <f t="array" ref="P255">INDEX('Talnagögn | Numerical Data'!$1:$1048576,_xlfn.XMATCH($B255,'Talnagögn | Numerical Data'!$B:$B),_xlfn.XMATCH($B$4,'Talnagögn | Numerical Data'!$1:$1))-INDEX('Talnagögn | Numerical Data'!$1:$1048576,_xlfn.XMATCH($A255,'Talnagögn | Numerical Data'!$A:$A),_xlfn.XMATCH($B$2,'Talnagögn | Numerical Data'!$1:$1))</f>
        <v>-33.48990181355498</v>
      </c>
      <c r="Q255" s="806" cm="1">
        <f t="array" ref="Q255">INDEX('Talnagögn | Numerical Data'!$1:$1048576,_xlfn.XMATCH($B255,'Talnagögn | Numerical Data'!$B:$B),_xlfn.XMATCH($B$4,'Talnagögn | Numerical Data'!$1:$1))/INDEX('Talnagögn | Numerical Data'!$1:$1048576,_xlfn.XMATCH($A255,'Talnagögn | Numerical Data'!$A:$A),_xlfn.XMATCH($B$2,'Talnagögn | Numerical Data'!$1:$1))-1</f>
        <v>-0.65736461923225675</v>
      </c>
      <c r="R255" s="895" cm="1">
        <f t="array" ref="R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Data'!$A:$A),_xlfn.XMATCH($B$1,'Talnagögn | Numerical Data'!$1:$1))</f>
        <v>-34.203605729117925</v>
      </c>
      <c r="S255" s="798" cm="1">
        <f t="array" ref="S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Data'!$A:$A),_xlfn.XMATCH($B$1,'Talnagögn | Numerical Data'!$1:$1))-1</f>
        <v>-0.67942189243541562</v>
      </c>
      <c r="AD255" s="760"/>
      <c r="AF255" s="235"/>
      <c r="AG255" s="797" t="str">
        <f>'Talnagögn | Numerical Data'!$E$61</f>
        <v>Other Emissions</v>
      </c>
      <c r="AH255" s="895" cm="1">
        <f t="array" ref="AH255">INDEX('Talnagögn | Numerical Data'!$1:$1048576, _xlfn.XMATCH($A255,'Talnagögn | Numerical Data'!$A:$A), _xlfn.XMATCH($A$1,'Talnagögn | Numerical Data'!$1:$1))</f>
        <v>27.717092995372923</v>
      </c>
      <c r="AI255" s="804">
        <f t="shared" si="3"/>
        <v>1.4910743275119286E-2</v>
      </c>
      <c r="AJ255" s="896" cm="1">
        <f t="array" ref="AJ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_xlfn.XMATCH($B$3,'Talnagögn | Numerical Data'!$1:$1))</f>
        <v>7.6582826989558725</v>
      </c>
      <c r="AK255" s="806" cm="1">
        <f t="array" ref="AK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_xlfn.XMATCH($B$3,'Talnagögn | Numerical Data'!$1:$1))-1</f>
        <v>0.38179147146746839</v>
      </c>
      <c r="AL255" s="895" cm="1">
        <f t="array" ref="AL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_xlfn.XMATCH($B$2,'Talnagögn | Numerical Data'!$1:$1))</f>
        <v>-23.22860872594606</v>
      </c>
      <c r="AM255" s="806" cm="1">
        <f t="array" ref="AM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_xlfn.XMATCH($B$2,'Talnagögn | Numerical Data'!$1:$1))-1</f>
        <v>-0.45594835169824943</v>
      </c>
      <c r="AN255" s="895" cm="1">
        <f t="array" ref="AN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_xlfn.XMATCH($B$1,'Talnagögn | Numerical Data'!$1:$1))</f>
        <v>-22.625126043983755</v>
      </c>
      <c r="AO255" s="798" cm="1">
        <f t="array" ref="AO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_xlfn.XMATCH($B$1,'Talnagögn | Numerical Data'!$1:$1))-1</f>
        <v>-0.44942647494930288</v>
      </c>
      <c r="AP255" s="397"/>
      <c r="AQ255" s="797" t="str">
        <f>'Talnagögn | Numerical Data'!$E$61</f>
        <v>Other Emissions</v>
      </c>
      <c r="AR255" s="895" cm="1">
        <f t="array" ref="AR255">INDEX('Talnagögn | Numerical Data'!$1:$1048576,_xlfn.XMATCH($B255,'Talnagögn | Numerical Data'!$B:$B),_xlfn.XMATCH($B$4,'Talnagögn | Numerical Data'!$1:$1))-INDEX('Talnagögn | Numerical Data'!$1:$1048576,_xlfn.XMATCH($A255,'Talnagögn | Numerical Data'!$A:$A),_xlfn.XMATCH($B$2,'Talnagögn | Numerical Data'!$1:$1))</f>
        <v>-33.48990181355498</v>
      </c>
      <c r="AS255" s="806" cm="1">
        <f t="array" ref="AS255">INDEX('Talnagögn | Numerical Data'!$1:$1048576,_xlfn.XMATCH($B255,'Talnagögn | Numerical Data'!$B:$B),_xlfn.XMATCH($B$4,'Talnagögn | Numerical Data'!$1:$1))/INDEX('Talnagögn | Numerical Data'!$1:$1048576,_xlfn.XMATCH($A255,'Talnagögn | Numerical Data'!$A:$A),_xlfn.XMATCH($B$2,'Talnagögn | Numerical Data'!$1:$1))-1</f>
        <v>-0.65736461923225675</v>
      </c>
      <c r="AT255" s="895" cm="1">
        <f t="array" ref="AT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Data'!$A:$A),_xlfn.XMATCH($B$1,'Talnagögn | Numerical Data'!$1:$1))</f>
        <v>-34.203605729117925</v>
      </c>
      <c r="AU255" s="806" cm="1">
        <f t="array" ref="AU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Data'!$A:$A),_xlfn.XMATCH($B$1,'Talnagögn | Numerical Data'!$1:$1))-1</f>
        <v>-0.67942189243541562</v>
      </c>
      <c r="AV255" s="895" t="e" cm="1">
        <f t="array" ref="AV255">INDEX('Talnagögn | Numerical Data'!$1:$1048576,_xlfn.XMATCH($C255,'Talnagögn | Numerical Data'!$B:$B),_xlfn.XMATCH($B$4,'Talnagögn | Numerical Data'!$1:$1))-INDEX('Talnagögn | Numerical Data'!$1:$1048576,_xlfn.XMATCH($A255,'Talnagögn | Numerical Data'!$A:$A),_xlfn.XMATCH($B$2,'Talnagögn | Numerical Data'!$1:$1))</f>
        <v>#N/A</v>
      </c>
      <c r="AW255" s="798" t="e" cm="1">
        <f t="array" ref="AW255">INDEX('Talnagögn | Numerical Data'!$1:$1048576,_xlfn.XMATCH($C255,'Talnagögn | Numerical Data'!$B:$B),_xlfn.XMATCH($B$4,'Talnagögn | Numerical Data'!$1:$1))/INDEX('Talnagögn | Numerical Data'!$1:$1048576,_xlfn.XMATCH($A255,'Talnagögn | Numerical Data'!$A:$A),_xlfn.XMATCH($B$2,'Talnagögn | Numerical Data'!$1:$1))-1</f>
        <v>#N/A</v>
      </c>
    </row>
    <row r="256" spans="1:55" ht="30" customHeight="1" x14ac:dyDescent="0.4">
      <c r="A256" s="242" t="s">
        <v>42</v>
      </c>
      <c r="B256" s="1038" t="s">
        <v>266</v>
      </c>
      <c r="C256" s="1038" t="s">
        <v>273</v>
      </c>
      <c r="D256" s="245" t="s">
        <v>48</v>
      </c>
      <c r="E256" s="810" t="s">
        <v>12</v>
      </c>
      <c r="F256" s="897" cm="1">
        <f t="array" ref="F256">INDEX('Talnagögn | Numerical Data'!$1:$1048576, _xlfn.XMATCH($A256,'Talnagögn | Numerical Data'!$A:$A), _xlfn.XMATCH($A$1,'Talnagögn | Numerical Data'!$1:$1))</f>
        <v>1858.8672934650326</v>
      </c>
      <c r="G256" s="805">
        <f t="shared" si="2"/>
        <v>1</v>
      </c>
      <c r="H256" s="897" cm="1">
        <f t="array" ref="H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_xlfn.XMATCH($B$3,'Talnagögn | Numerical Data'!$1:$1))</f>
        <v>84.315435981465725</v>
      </c>
      <c r="I256" s="799" cm="1">
        <f t="array" ref="I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_xlfn.XMATCH($B$3,'Talnagögn | Numerical Data'!$1:$1))-1</f>
        <v>4.7513650066575375E-2</v>
      </c>
      <c r="J256" s="897" cm="1">
        <f t="array" ref="J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_xlfn.XMATCH($B$2,'Talnagögn | Numerical Data'!$1:$1))</f>
        <v>-299.65975339180341</v>
      </c>
      <c r="K256" s="805" cm="1">
        <f t="array" ref="K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_xlfn.XMATCH($B$2,'Talnagögn | Numerical Data'!$1:$1))-1</f>
        <v>-0.13882603594342557</v>
      </c>
      <c r="L256" s="897" cm="1">
        <f t="array" ref="L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_xlfn.XMATCH($B$1,'Talnagögn | Numerical Data'!$1:$1))</f>
        <v>18.308869483047374</v>
      </c>
      <c r="M256" s="809" cm="1">
        <f t="array" ref="M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_xlfn.XMATCH($B$1,'Talnagögn | Numerical Data'!$1:$1))-1</f>
        <v>9.9474535795700536E-3</v>
      </c>
      <c r="N256" s="397"/>
      <c r="O256" s="810" t="s">
        <v>12</v>
      </c>
      <c r="P256" s="897" cm="1">
        <f t="array" ref="P256">INDEX('Talnagögn | Numerical Data'!$1:$1048576,_xlfn.XMATCH($B256,'Talnagögn | Numerical Data'!$B:$B),_xlfn.XMATCH($B$4,'Talnagögn | Numerical Data'!$1:$1))-INDEX('Talnagögn | Numerical Data'!$1:$1048576,_xlfn.XMATCH($A256,'Talnagögn | Numerical Data'!$A:$A),_xlfn.XMATCH($B$2,'Talnagögn | Numerical Data'!$1:$1))</f>
        <v>-602.66565498050227</v>
      </c>
      <c r="Q256" s="805" cm="1">
        <f t="array" ref="Q256">INDEX('Talnagögn | Numerical Data'!$1:$1048576,_xlfn.XMATCH($B256,'Talnagögn | Numerical Data'!$B:$B),_xlfn.XMATCH($B$4,'Talnagögn | Numerical Data'!$1:$1))/INDEX('Talnagögn | Numerical Data'!$1:$1048576,_xlfn.XMATCH($A256,'Talnagögn | Numerical Data'!$A:$A),_xlfn.XMATCH($B$2,'Talnagögn | Numerical Data'!$1:$1))-1</f>
        <v>-0.2792022716871122</v>
      </c>
      <c r="R256" s="897" cm="1">
        <f t="array" ref="R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Data'!$A:$A),_xlfn.XMATCH($B$1,'Talnagögn | Numerical Data'!$1:$1))</f>
        <v>-1574.4467026149255</v>
      </c>
      <c r="S256" s="808" cm="1">
        <f t="array" ref="S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Data'!$A:$A),_xlfn.XMATCH($B$1,'Talnagögn | Numerical Data'!$1:$1))-1</f>
        <v>-0.85541794386980874</v>
      </c>
      <c r="T256" s="8"/>
      <c r="U256" s="8"/>
      <c r="V256" s="8"/>
      <c r="W256" s="8"/>
      <c r="X256" s="8"/>
      <c r="Y256" s="8"/>
      <c r="Z256" s="8"/>
      <c r="AA256" s="8"/>
      <c r="AB256" s="8"/>
      <c r="AC256" s="8"/>
      <c r="AG256" s="810" t="s">
        <v>164</v>
      </c>
      <c r="AH256" s="897" cm="1">
        <f t="array" ref="AH256">INDEX('Talnagögn | Numerical Data'!$1:$1048576, _xlfn.XMATCH($A256,'Talnagögn | Numerical Data'!$A:$A), _xlfn.XMATCH($A$1,'Talnagögn | Numerical Data'!$1:$1))</f>
        <v>1858.8672934650326</v>
      </c>
      <c r="AI256" s="805">
        <f t="shared" si="3"/>
        <v>1</v>
      </c>
      <c r="AJ256" s="897" cm="1">
        <f t="array" ref="AJ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_xlfn.XMATCH($B$3,'Talnagögn | Numerical Data'!$1:$1))</f>
        <v>84.315435981465725</v>
      </c>
      <c r="AK256" s="799" cm="1">
        <f t="array" ref="AK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_xlfn.XMATCH($B$3,'Talnagögn | Numerical Data'!$1:$1))-1</f>
        <v>4.7513650066575375E-2</v>
      </c>
      <c r="AL256" s="897" cm="1">
        <f t="array" ref="AL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_xlfn.XMATCH($B$2,'Talnagögn | Numerical Data'!$1:$1))</f>
        <v>-299.65975339180341</v>
      </c>
      <c r="AM256" s="805" cm="1">
        <f t="array" ref="AM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_xlfn.XMATCH($B$2,'Talnagögn | Numerical Data'!$1:$1))-1</f>
        <v>-0.13882603594342557</v>
      </c>
      <c r="AN256" s="897" cm="1">
        <f t="array" ref="AN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_xlfn.XMATCH($B$1,'Talnagögn | Numerical Data'!$1:$1))</f>
        <v>18.308869483047374</v>
      </c>
      <c r="AO256" s="809" cm="1">
        <f t="array" ref="AO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_xlfn.XMATCH($B$1,'Talnagögn | Numerical Data'!$1:$1))-1</f>
        <v>9.9474535795700536E-3</v>
      </c>
      <c r="AP256" s="397"/>
      <c r="AQ256" s="810" t="s">
        <v>12</v>
      </c>
      <c r="AR256" s="897" cm="1">
        <f t="array" ref="AR256">INDEX('Talnagögn | Numerical Data'!$1:$1048576,_xlfn.XMATCH($B256,'Talnagögn | Numerical Data'!$B:$B),_xlfn.XMATCH($B$4,'Talnagögn | Numerical Data'!$1:$1))-INDEX('Talnagögn | Numerical Data'!$1:$1048576,_xlfn.XMATCH($A256,'Talnagögn | Numerical Data'!$A:$A),_xlfn.XMATCH($B$2,'Talnagögn | Numerical Data'!$1:$1))</f>
        <v>-602.66565498050227</v>
      </c>
      <c r="AS256" s="805" cm="1">
        <f t="array" ref="AS256">INDEX('Talnagögn | Numerical Data'!$1:$1048576,_xlfn.XMATCH($B256,'Talnagögn | Numerical Data'!$B:$B),_xlfn.XMATCH($B$4,'Talnagögn | Numerical Data'!$1:$1))/INDEX('Talnagögn | Numerical Data'!$1:$1048576,_xlfn.XMATCH($A256,'Talnagögn | Numerical Data'!$A:$A),_xlfn.XMATCH($B$2,'Talnagögn | Numerical Data'!$1:$1))-1</f>
        <v>-0.2792022716871122</v>
      </c>
      <c r="AT256" s="897" cm="1">
        <f t="array" ref="AT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Data'!$A:$A),_xlfn.XMATCH($B$1,'Talnagögn | Numerical Data'!$1:$1))</f>
        <v>-1574.4467026149255</v>
      </c>
      <c r="AU256" s="805" cm="1">
        <f t="array" ref="AU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Data'!$A:$A),_xlfn.XMATCH($B$1,'Talnagögn | Numerical Data'!$1:$1))-1</f>
        <v>-0.85541794386980874</v>
      </c>
      <c r="AV256" s="897" t="e" cm="1">
        <f t="array" ref="AV256">INDEX('Talnagögn | Numerical Data'!$1:$1048576,_xlfn.XMATCH($C256,'Talnagögn | Numerical Data'!$B:$B),_xlfn.XMATCH($B$4,'Talnagögn | Numerical Data'!$1:$1))-INDEX('Talnagögn | Numerical Data'!$1:$1048576,_xlfn.XMATCH($A256,'Talnagögn | Numerical Data'!$A:$A),_xlfn.XMATCH($B$2,'Talnagögn | Numerical Data'!$1:$1))</f>
        <v>#N/A</v>
      </c>
      <c r="AW256" s="808" t="e" cm="1">
        <f t="array" ref="AW256">INDEX('Talnagögn | Numerical Data'!$1:$1048576,_xlfn.XMATCH($C256,'Talnagögn | Numerical Data'!$B:$B),_xlfn.XMATCH($B$4,'Talnagögn | Numerical Data'!$1:$1))/INDEX('Talnagögn | Numerical Data'!$1:$1048576,_xlfn.XMATCH($A256,'Talnagögn | Numerical Data'!$A:$A),_xlfn.XMATCH($B$2,'Talnagögn | Numerical Data'!$1:$1))-1</f>
        <v>#N/A</v>
      </c>
      <c r="AX256" s="8"/>
      <c r="AY256" s="8"/>
      <c r="AZ256" s="8"/>
      <c r="BA256" s="8"/>
      <c r="BB256" s="8"/>
      <c r="BC256" s="8"/>
    </row>
    <row r="257" spans="1:55" s="40" customFormat="1" ht="15.6" customHeight="1" x14ac:dyDescent="0.4">
      <c r="A257" s="1035" t="str">
        <f>"ORKA "&amp;$A$1</f>
        <v>ORKA 2024</v>
      </c>
      <c r="B257" s="1035" t="str">
        <f>"ENERGY "&amp;$A$1</f>
        <v>ENERGY 2024</v>
      </c>
      <c r="C257" s="1040" t="s">
        <v>48</v>
      </c>
      <c r="D257" s="245" t="s">
        <v>48</v>
      </c>
      <c r="E257" s="246"/>
      <c r="F257" s="228"/>
      <c r="G257" s="228"/>
      <c r="H257" s="228"/>
      <c r="I257" s="228"/>
      <c r="J257" s="228"/>
      <c r="K257" s="228"/>
      <c r="L257" s="228"/>
      <c r="M257" s="228"/>
      <c r="N257" s="397"/>
      <c r="O257" s="228"/>
      <c r="P257" s="228"/>
      <c r="Q257" s="228"/>
      <c r="R257" s="1266"/>
      <c r="S257" s="1266"/>
      <c r="T257" s="228"/>
      <c r="U257" s="228"/>
      <c r="V257" s="228"/>
      <c r="W257" s="761"/>
      <c r="X257" s="747"/>
      <c r="Y257" s="747"/>
      <c r="Z257" s="747"/>
      <c r="AA257" s="747"/>
      <c r="AB257" s="747"/>
      <c r="AC257" s="747"/>
      <c r="AD257" s="766"/>
      <c r="AE257" s="233"/>
      <c r="AF257" s="235"/>
      <c r="AG257" s="233"/>
      <c r="AH257" s="747"/>
      <c r="AI257" s="747"/>
      <c r="AJ257" s="747"/>
      <c r="AK257" s="749"/>
      <c r="AL257" s="397"/>
      <c r="AM257" s="397"/>
      <c r="AN257" s="397"/>
      <c r="AO257" s="397"/>
      <c r="AP257" s="397"/>
      <c r="AQ257" s="397"/>
      <c r="AR257" s="397"/>
      <c r="AS257" s="397"/>
      <c r="AT257" s="397"/>
      <c r="AU257" s="397"/>
      <c r="AV257" s="397"/>
      <c r="AW257" s="397"/>
      <c r="AX257" s="397"/>
      <c r="AY257" s="397"/>
      <c r="AZ257" s="397"/>
      <c r="BA257" s="397"/>
      <c r="BB257" s="397"/>
      <c r="BC257" s="397"/>
    </row>
    <row r="258" spans="1:55" s="40" customFormat="1" ht="13.5" customHeight="1" x14ac:dyDescent="0.4">
      <c r="A258" s="50"/>
      <c r="B258" s="1040"/>
      <c r="C258" s="1040"/>
      <c r="D258" s="245" t="s">
        <v>48</v>
      </c>
      <c r="E258" s="246"/>
      <c r="F258" s="228"/>
      <c r="G258" s="228"/>
      <c r="H258" s="228"/>
      <c r="I258" s="228"/>
      <c r="J258" s="228"/>
      <c r="K258" s="228"/>
      <c r="L258" s="228"/>
      <c r="M258" s="228"/>
      <c r="N258" s="397"/>
      <c r="O258" s="228"/>
      <c r="P258" s="228"/>
      <c r="Q258" s="228"/>
      <c r="R258" s="1266"/>
      <c r="S258" s="1266"/>
      <c r="T258" s="228"/>
      <c r="U258" s="228"/>
      <c r="V258" s="228"/>
      <c r="W258" s="761"/>
      <c r="X258" s="747"/>
      <c r="Y258" s="747"/>
      <c r="Z258" s="747"/>
      <c r="AA258" s="747"/>
      <c r="AB258" s="747"/>
      <c r="AC258" s="747"/>
      <c r="AD258" s="766"/>
      <c r="AE258" s="233"/>
      <c r="AF258" s="235"/>
      <c r="AG258" s="233"/>
      <c r="AH258" s="747"/>
      <c r="AI258" s="747"/>
      <c r="AJ258" s="747"/>
      <c r="AK258" s="749"/>
      <c r="AL258" s="397"/>
      <c r="AM258" s="397"/>
      <c r="AN258" s="397"/>
      <c r="AO258" s="397"/>
      <c r="AP258" s="397"/>
      <c r="AQ258" s="397"/>
      <c r="AR258" s="397"/>
      <c r="AS258" s="397"/>
      <c r="AT258" s="397"/>
      <c r="AU258" s="397"/>
      <c r="AV258" s="397"/>
      <c r="AW258" s="397"/>
      <c r="AX258" s="397"/>
      <c r="AY258" s="397"/>
      <c r="AZ258" s="397"/>
      <c r="BA258" s="397"/>
      <c r="BB258" s="397"/>
      <c r="BC258" s="397"/>
    </row>
    <row r="259" spans="1:55" s="40" customFormat="1" ht="13.5" customHeight="1" x14ac:dyDescent="0.4">
      <c r="A259" s="50"/>
      <c r="B259" s="1040"/>
      <c r="C259" s="1040"/>
      <c r="D259" s="245" t="s">
        <v>48</v>
      </c>
      <c r="E259" s="246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397"/>
      <c r="S259" s="397"/>
      <c r="T259" s="228"/>
      <c r="U259" s="228"/>
      <c r="V259" s="228"/>
      <c r="W259" s="761"/>
      <c r="X259" s="747"/>
      <c r="Y259" s="747"/>
      <c r="Z259" s="747"/>
      <c r="AA259" s="747"/>
      <c r="AB259" s="747"/>
      <c r="AC259" s="747"/>
      <c r="AD259" s="766"/>
      <c r="AE259" s="233"/>
      <c r="AG259" s="233"/>
      <c r="AH259" s="747"/>
      <c r="AI259" s="747"/>
      <c r="AJ259" s="747"/>
      <c r="AK259" s="749"/>
      <c r="AL259" s="397"/>
      <c r="AM259" s="397"/>
      <c r="AN259" s="397"/>
      <c r="AO259" s="397"/>
      <c r="AP259" s="397"/>
      <c r="AQ259" s="397"/>
      <c r="AR259" s="397"/>
      <c r="AS259" s="397"/>
      <c r="AT259" s="397"/>
      <c r="AU259" s="397"/>
      <c r="AV259" s="397"/>
      <c r="AW259" s="397"/>
      <c r="AX259" s="397"/>
      <c r="AY259" s="397"/>
      <c r="AZ259" s="397"/>
      <c r="BA259" s="397"/>
      <c r="BB259" s="397"/>
      <c r="BC259" s="397"/>
    </row>
    <row r="260" spans="1:55" s="40" customFormat="1" ht="13.5" customHeight="1" x14ac:dyDescent="0.4">
      <c r="A260" s="50"/>
      <c r="B260" s="1040"/>
      <c r="C260" s="1040"/>
      <c r="D260" s="245" t="s">
        <v>48</v>
      </c>
      <c r="E260" s="246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1266"/>
      <c r="S260" s="1266"/>
      <c r="T260" s="228"/>
      <c r="U260" s="228"/>
      <c r="V260" s="228"/>
      <c r="W260" s="761"/>
      <c r="X260" s="747"/>
      <c r="Y260" s="747"/>
      <c r="Z260" s="747"/>
      <c r="AA260" s="747"/>
      <c r="AB260" s="747"/>
      <c r="AC260" s="747"/>
      <c r="AD260" s="766"/>
      <c r="AE260" s="233"/>
      <c r="AF260" s="235"/>
      <c r="AG260" s="233"/>
      <c r="AH260" s="747"/>
      <c r="AI260" s="747"/>
      <c r="AJ260" s="747"/>
      <c r="AK260" s="749"/>
      <c r="AL260" s="397"/>
      <c r="AM260" s="397"/>
      <c r="AN260" s="397"/>
      <c r="AO260" s="397"/>
      <c r="AP260" s="397"/>
      <c r="AQ260" s="397"/>
      <c r="AR260" s="397"/>
      <c r="AS260" s="397"/>
      <c r="AT260" s="397"/>
      <c r="AU260" s="397"/>
      <c r="AV260" s="397"/>
      <c r="AW260" s="397"/>
      <c r="AX260" s="397"/>
      <c r="AY260" s="397"/>
      <c r="AZ260" s="397"/>
      <c r="BA260" s="397"/>
      <c r="BB260" s="397"/>
      <c r="BC260" s="397"/>
    </row>
    <row r="261" spans="1:55" s="40" customFormat="1" ht="13.5" customHeight="1" x14ac:dyDescent="0.4">
      <c r="A261" s="50"/>
      <c r="B261" s="1040"/>
      <c r="C261" s="1040"/>
      <c r="D261" s="245" t="s">
        <v>48</v>
      </c>
      <c r="E261" s="246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1266"/>
      <c r="S261" s="1266"/>
      <c r="T261" s="228"/>
      <c r="U261" s="228"/>
      <c r="V261" s="228"/>
      <c r="W261" s="761"/>
      <c r="X261" s="747"/>
      <c r="Y261" s="747"/>
      <c r="Z261" s="747"/>
      <c r="AA261" s="747"/>
      <c r="AB261" s="747"/>
      <c r="AC261" s="747"/>
      <c r="AD261" s="766"/>
      <c r="AE261" s="233"/>
      <c r="AF261" s="235"/>
      <c r="AG261" s="233"/>
      <c r="AH261" s="747"/>
      <c r="AI261" s="747"/>
      <c r="AJ261" s="747"/>
      <c r="AK261" s="749"/>
      <c r="AL261" s="397"/>
      <c r="AM261" s="397"/>
      <c r="AN261" s="397"/>
      <c r="AO261" s="397"/>
      <c r="AP261" s="397"/>
      <c r="AQ261" s="397"/>
      <c r="AR261" s="397"/>
      <c r="AS261" s="397"/>
      <c r="AT261" s="397"/>
      <c r="AU261" s="397"/>
      <c r="AV261" s="397"/>
      <c r="AW261" s="397"/>
      <c r="AX261" s="397"/>
      <c r="AY261" s="397"/>
      <c r="AZ261" s="397"/>
      <c r="BA261" s="397"/>
      <c r="BB261" s="397"/>
      <c r="BC261" s="397"/>
    </row>
    <row r="262" spans="1:55" s="40" customFormat="1" ht="13.5" customHeight="1" x14ac:dyDescent="0.4">
      <c r="A262" s="50"/>
      <c r="B262" s="1040"/>
      <c r="C262" s="1040"/>
      <c r="D262" s="245" t="s">
        <v>48</v>
      </c>
      <c r="E262" s="246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1266"/>
      <c r="S262" s="1266"/>
      <c r="T262" s="397"/>
      <c r="U262" s="397"/>
      <c r="V262" s="397"/>
      <c r="W262" s="397"/>
      <c r="X262" s="397"/>
      <c r="Y262" s="397"/>
      <c r="Z262" s="397"/>
      <c r="AA262" s="397"/>
      <c r="AB262" s="397"/>
      <c r="AC262" s="397"/>
      <c r="AD262" s="762"/>
      <c r="AH262" s="397"/>
      <c r="AI262" s="397"/>
      <c r="AJ262" s="397"/>
      <c r="AK262" s="397"/>
      <c r="AL262" s="397"/>
      <c r="AM262" s="397"/>
      <c r="AN262" s="397"/>
      <c r="AO262" s="397"/>
      <c r="AP262" s="397"/>
      <c r="AQ262" s="397"/>
      <c r="AR262" s="397"/>
      <c r="AS262" s="397"/>
      <c r="AT262" s="397"/>
      <c r="AU262" s="397"/>
      <c r="AV262" s="397"/>
      <c r="AW262" s="397"/>
      <c r="AX262" s="397"/>
      <c r="AY262" s="397"/>
      <c r="AZ262" s="397"/>
      <c r="BA262" s="397"/>
      <c r="BB262" s="397"/>
      <c r="BC262" s="397"/>
    </row>
    <row r="263" spans="1:55" s="40" customFormat="1" ht="13.5" customHeight="1" x14ac:dyDescent="0.4">
      <c r="A263" s="50"/>
      <c r="B263" s="1040"/>
      <c r="C263" s="1040"/>
      <c r="D263" s="245" t="s">
        <v>48</v>
      </c>
      <c r="E263" s="246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397"/>
      <c r="U263" s="397"/>
      <c r="V263" s="397"/>
      <c r="W263" s="397"/>
      <c r="X263" s="397"/>
      <c r="Y263" s="397"/>
      <c r="Z263" s="397"/>
      <c r="AA263" s="397"/>
      <c r="AB263" s="397"/>
      <c r="AC263" s="397"/>
      <c r="AD263" s="762"/>
      <c r="AH263" s="397"/>
      <c r="AI263" s="397"/>
      <c r="AJ263" s="397"/>
      <c r="AK263" s="397"/>
      <c r="AL263" s="397"/>
      <c r="AM263" s="397"/>
      <c r="AN263" s="397"/>
      <c r="AO263" s="397"/>
      <c r="AP263" s="397"/>
      <c r="AQ263" s="397"/>
      <c r="AR263" s="397"/>
      <c r="AS263" s="397"/>
      <c r="AT263" s="397"/>
      <c r="AU263" s="397"/>
      <c r="AV263" s="397"/>
      <c r="AW263" s="397"/>
      <c r="AX263" s="397"/>
      <c r="AY263" s="397"/>
      <c r="AZ263" s="397"/>
      <c r="BA263" s="397"/>
      <c r="BB263" s="397"/>
      <c r="BC263" s="397"/>
    </row>
    <row r="264" spans="1:55" s="40" customFormat="1" ht="13.5" customHeight="1" x14ac:dyDescent="0.4">
      <c r="A264" s="50"/>
      <c r="B264" s="1038"/>
      <c r="C264" s="1038"/>
      <c r="D264" s="245" t="s">
        <v>48</v>
      </c>
      <c r="E264" s="246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397"/>
      <c r="U264" s="397"/>
      <c r="V264" s="397"/>
      <c r="W264" s="397"/>
      <c r="X264" s="397"/>
      <c r="Y264" s="397"/>
      <c r="Z264" s="397"/>
      <c r="AA264" s="397"/>
      <c r="AB264" s="397"/>
      <c r="AC264" s="397"/>
      <c r="AD264" s="762"/>
      <c r="AH264" s="397"/>
      <c r="AI264" s="397"/>
      <c r="AJ264" s="397"/>
      <c r="AK264" s="397"/>
      <c r="AL264" s="397"/>
      <c r="AM264" s="397"/>
      <c r="AN264" s="397"/>
      <c r="AO264" s="397"/>
      <c r="AP264" s="397"/>
      <c r="AQ264" s="397"/>
      <c r="AR264" s="397"/>
      <c r="AS264" s="397"/>
      <c r="AT264" s="397"/>
      <c r="AU264" s="397"/>
      <c r="AV264" s="397"/>
      <c r="AW264" s="397"/>
      <c r="AX264" s="397"/>
      <c r="AY264" s="397"/>
      <c r="AZ264" s="397"/>
      <c r="BA264" s="397"/>
      <c r="BB264" s="397"/>
      <c r="BC264" s="397"/>
    </row>
    <row r="265" spans="1:55" s="40" customFormat="1" ht="13.5" customHeight="1" x14ac:dyDescent="0.4">
      <c r="A265" s="50"/>
      <c r="B265" s="1038"/>
      <c r="C265" s="1038"/>
      <c r="D265" s="245" t="s">
        <v>48</v>
      </c>
      <c r="E265" s="246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397"/>
      <c r="U265" s="397"/>
      <c r="V265" s="397"/>
      <c r="W265" s="397"/>
      <c r="X265" s="397"/>
      <c r="Y265" s="397"/>
      <c r="Z265" s="397"/>
      <c r="AA265" s="397"/>
      <c r="AB265" s="397"/>
      <c r="AC265" s="397"/>
      <c r="AD265" s="762"/>
      <c r="AH265" s="397"/>
      <c r="AI265" s="397"/>
      <c r="AJ265" s="397"/>
      <c r="AK265" s="397"/>
      <c r="AL265" s="397"/>
      <c r="AM265" s="397"/>
      <c r="AN265" s="397"/>
      <c r="AO265" s="397"/>
      <c r="AP265" s="397"/>
      <c r="AQ265" s="397"/>
      <c r="AR265" s="397"/>
      <c r="AS265" s="397"/>
      <c r="AT265" s="397"/>
      <c r="AU265" s="397"/>
      <c r="AV265" s="397"/>
      <c r="AW265" s="397"/>
      <c r="AX265" s="397"/>
      <c r="AY265" s="397"/>
      <c r="AZ265" s="397"/>
      <c r="BA265" s="397"/>
      <c r="BB265" s="397"/>
      <c r="BC265" s="397"/>
    </row>
    <row r="266" spans="1:55" s="40" customFormat="1" ht="13.5" customHeight="1" x14ac:dyDescent="0.4">
      <c r="A266" s="50"/>
      <c r="B266" s="1038"/>
      <c r="C266" s="1038"/>
      <c r="D266" s="245" t="s">
        <v>48</v>
      </c>
      <c r="E266" s="246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397"/>
      <c r="U266" s="397"/>
      <c r="V266" s="397"/>
      <c r="W266" s="397"/>
      <c r="X266" s="397"/>
      <c r="Y266" s="397"/>
      <c r="Z266" s="397"/>
      <c r="AA266" s="397"/>
      <c r="AB266" s="397"/>
      <c r="AC266" s="397"/>
      <c r="AD266" s="762"/>
      <c r="AH266" s="397"/>
      <c r="AI266" s="397"/>
      <c r="AJ266" s="397"/>
      <c r="AK266" s="397"/>
      <c r="AL266" s="397"/>
      <c r="AM266" s="397"/>
      <c r="AN266" s="397"/>
      <c r="AO266" s="397"/>
      <c r="AP266" s="397"/>
      <c r="AQ266" s="397"/>
      <c r="AR266" s="397"/>
      <c r="AS266" s="397"/>
      <c r="AT266" s="397"/>
      <c r="AU266" s="397"/>
      <c r="AV266" s="397"/>
      <c r="AW266" s="397"/>
      <c r="AX266" s="397"/>
      <c r="AY266" s="397"/>
      <c r="AZ266" s="397"/>
      <c r="BA266" s="397"/>
      <c r="BB266" s="397"/>
      <c r="BC266" s="397"/>
    </row>
    <row r="267" spans="1:55" s="40" customFormat="1" ht="13.5" customHeight="1" x14ac:dyDescent="0.4">
      <c r="A267" s="50"/>
      <c r="B267" s="1038"/>
      <c r="C267" s="1038"/>
      <c r="D267" s="245" t="s">
        <v>48</v>
      </c>
      <c r="E267" s="246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397"/>
      <c r="U267" s="397"/>
      <c r="V267" s="397"/>
      <c r="W267" s="397"/>
      <c r="X267" s="397"/>
      <c r="Y267" s="397"/>
      <c r="Z267" s="397"/>
      <c r="AA267" s="397"/>
      <c r="AB267" s="397"/>
      <c r="AC267" s="397"/>
      <c r="AD267" s="762"/>
      <c r="AH267" s="397"/>
      <c r="AI267" s="397"/>
      <c r="AJ267" s="397"/>
      <c r="AK267" s="397"/>
      <c r="AL267" s="397"/>
      <c r="AM267" s="397"/>
      <c r="AN267" s="397"/>
      <c r="AO267" s="397"/>
      <c r="AP267" s="397"/>
      <c r="AQ267" s="397"/>
      <c r="AR267" s="397"/>
      <c r="AS267" s="397"/>
      <c r="AT267" s="397"/>
      <c r="AU267" s="397"/>
      <c r="AV267" s="397"/>
      <c r="AW267" s="397"/>
      <c r="AX267" s="397"/>
      <c r="AY267" s="397"/>
      <c r="AZ267" s="397"/>
      <c r="BA267" s="397"/>
      <c r="BB267" s="397"/>
      <c r="BC267" s="397"/>
    </row>
    <row r="268" spans="1:55" s="40" customFormat="1" ht="13.5" customHeight="1" x14ac:dyDescent="0.4">
      <c r="A268" s="50"/>
      <c r="B268" s="1038"/>
      <c r="C268" s="1038"/>
      <c r="D268" s="245" t="s">
        <v>48</v>
      </c>
      <c r="E268" s="246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397"/>
      <c r="U268" s="397"/>
      <c r="V268" s="397"/>
      <c r="W268" s="397"/>
      <c r="X268" s="397"/>
      <c r="Y268" s="397"/>
      <c r="Z268" s="397"/>
      <c r="AA268" s="397"/>
      <c r="AB268" s="397"/>
      <c r="AC268" s="397"/>
      <c r="AD268" s="762"/>
      <c r="AH268" s="397"/>
      <c r="AI268" s="397"/>
      <c r="AJ268" s="397"/>
      <c r="AK268" s="397"/>
      <c r="AL268" s="397"/>
      <c r="AM268" s="397"/>
      <c r="AN268" s="397"/>
      <c r="AO268" s="397"/>
      <c r="AP268" s="397"/>
      <c r="AQ268" s="397"/>
      <c r="AR268" s="397"/>
      <c r="AS268" s="397"/>
      <c r="AT268" s="397"/>
      <c r="AU268" s="397"/>
      <c r="AV268" s="397"/>
      <c r="AW268" s="397"/>
      <c r="AX268" s="397"/>
      <c r="AY268" s="397"/>
      <c r="AZ268" s="397"/>
      <c r="BA268" s="397"/>
      <c r="BB268" s="397"/>
      <c r="BC268" s="397"/>
    </row>
    <row r="269" spans="1:55" s="40" customFormat="1" ht="13.5" customHeight="1" x14ac:dyDescent="0.4">
      <c r="A269" s="50"/>
      <c r="B269" s="1040"/>
      <c r="C269" s="1040"/>
      <c r="D269" s="245" t="s">
        <v>48</v>
      </c>
      <c r="E269" s="246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397"/>
      <c r="U269" s="397"/>
      <c r="V269" s="397"/>
      <c r="W269" s="397"/>
      <c r="X269" s="397"/>
      <c r="Y269" s="397"/>
      <c r="Z269" s="397"/>
      <c r="AA269" s="397"/>
      <c r="AB269" s="397"/>
      <c r="AC269" s="397"/>
      <c r="AD269" s="762"/>
      <c r="AH269" s="397"/>
      <c r="AI269" s="397"/>
      <c r="AJ269" s="397"/>
      <c r="AK269" s="397"/>
      <c r="AL269" s="397"/>
      <c r="AM269" s="397"/>
      <c r="AN269" s="397"/>
      <c r="AO269" s="397"/>
      <c r="AP269" s="397"/>
      <c r="AQ269" s="397"/>
      <c r="AR269" s="397"/>
      <c r="AS269" s="397"/>
      <c r="AT269" s="397"/>
      <c r="AU269" s="397"/>
      <c r="AV269" s="397"/>
      <c r="AW269" s="397"/>
      <c r="AX269" s="397"/>
      <c r="AY269" s="397"/>
      <c r="AZ269" s="397"/>
      <c r="BA269" s="397"/>
      <c r="BB269" s="397"/>
      <c r="BC269" s="397"/>
    </row>
    <row r="270" spans="1:55" s="40" customFormat="1" ht="13.5" customHeight="1" x14ac:dyDescent="0.4">
      <c r="A270" s="50"/>
      <c r="B270" s="1040"/>
      <c r="C270" s="1040"/>
      <c r="D270" s="245" t="s">
        <v>48</v>
      </c>
      <c r="E270" s="246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397"/>
      <c r="U270" s="397"/>
      <c r="V270" s="397"/>
      <c r="W270" s="397"/>
      <c r="X270" s="397"/>
      <c r="Y270" s="397"/>
      <c r="Z270" s="397"/>
      <c r="AA270" s="397"/>
      <c r="AB270" s="397"/>
      <c r="AC270" s="397"/>
      <c r="AD270" s="762"/>
      <c r="AH270" s="397"/>
      <c r="AI270" s="397"/>
      <c r="AJ270" s="397"/>
      <c r="AK270" s="397"/>
      <c r="AL270" s="397"/>
      <c r="AM270" s="397"/>
      <c r="AN270" s="397"/>
      <c r="AO270" s="397"/>
      <c r="AP270" s="397"/>
      <c r="AQ270" s="397"/>
      <c r="AR270" s="397"/>
      <c r="AS270" s="397"/>
      <c r="AT270" s="397"/>
      <c r="AU270" s="397"/>
      <c r="AV270" s="397"/>
      <c r="AW270" s="397"/>
      <c r="AX270" s="397"/>
      <c r="AY270" s="397"/>
      <c r="AZ270" s="397"/>
      <c r="BA270" s="397"/>
      <c r="BB270" s="397"/>
      <c r="BC270" s="397"/>
    </row>
    <row r="271" spans="1:55" s="40" customFormat="1" ht="13.5" customHeight="1" x14ac:dyDescent="0.4">
      <c r="A271" s="50"/>
      <c r="B271" s="1040"/>
      <c r="C271" s="1040"/>
      <c r="D271" s="245" t="s">
        <v>48</v>
      </c>
      <c r="E271" s="246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397"/>
      <c r="U271" s="397"/>
      <c r="V271" s="397"/>
      <c r="W271" s="397"/>
      <c r="X271" s="397"/>
      <c r="Y271" s="397"/>
      <c r="Z271" s="397"/>
      <c r="AA271" s="397"/>
      <c r="AB271" s="397"/>
      <c r="AC271" s="397"/>
      <c r="AD271" s="762"/>
      <c r="AH271" s="397"/>
      <c r="AI271" s="397"/>
      <c r="AJ271" s="397"/>
      <c r="AK271" s="397"/>
      <c r="AL271" s="397"/>
      <c r="AM271" s="397"/>
      <c r="AN271" s="397"/>
      <c r="AO271" s="397"/>
      <c r="AP271" s="397"/>
      <c r="AQ271" s="397"/>
      <c r="AR271" s="397"/>
      <c r="AS271" s="397"/>
      <c r="AT271" s="397"/>
      <c r="AU271" s="397"/>
      <c r="AV271" s="397"/>
      <c r="AW271" s="397"/>
      <c r="AX271" s="397"/>
      <c r="AY271" s="397"/>
      <c r="AZ271" s="397"/>
      <c r="BA271" s="397"/>
      <c r="BB271" s="397"/>
      <c r="BC271" s="397"/>
    </row>
    <row r="272" spans="1:55" s="40" customFormat="1" ht="13.5" customHeight="1" x14ac:dyDescent="0.4">
      <c r="A272" s="50"/>
      <c r="B272" s="1040"/>
      <c r="C272" s="1040"/>
      <c r="D272" s="245" t="s">
        <v>48</v>
      </c>
      <c r="E272" s="246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397"/>
      <c r="U272" s="397"/>
      <c r="V272" s="397"/>
      <c r="W272" s="397"/>
      <c r="X272" s="397"/>
      <c r="Y272" s="397"/>
      <c r="Z272" s="397"/>
      <c r="AA272" s="397"/>
      <c r="AB272" s="397"/>
      <c r="AC272" s="397"/>
      <c r="AD272" s="762"/>
      <c r="AH272" s="397"/>
      <c r="AI272" s="397"/>
      <c r="AJ272" s="397"/>
      <c r="AK272" s="397"/>
      <c r="AL272" s="397"/>
      <c r="AM272" s="397"/>
      <c r="AN272" s="397"/>
      <c r="AO272" s="397"/>
      <c r="AP272" s="397"/>
      <c r="AQ272" s="397"/>
      <c r="AR272" s="397"/>
      <c r="AS272" s="397"/>
      <c r="AT272" s="397"/>
      <c r="AU272" s="397"/>
      <c r="AV272" s="397"/>
      <c r="AW272" s="397"/>
      <c r="AX272" s="397"/>
      <c r="AY272" s="397"/>
      <c r="AZ272" s="397"/>
      <c r="BA272" s="397"/>
      <c r="BB272" s="397"/>
      <c r="BC272" s="397"/>
    </row>
    <row r="273" spans="1:55" s="40" customFormat="1" ht="13.5" customHeight="1" x14ac:dyDescent="0.4">
      <c r="A273" s="50"/>
      <c r="B273" s="1040"/>
      <c r="C273" s="1040"/>
      <c r="D273" s="245" t="s">
        <v>48</v>
      </c>
      <c r="E273" s="246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397"/>
      <c r="U273" s="397"/>
      <c r="V273" s="397"/>
      <c r="W273" s="397"/>
      <c r="X273" s="397"/>
      <c r="Y273" s="397"/>
      <c r="Z273" s="397"/>
      <c r="AA273" s="397"/>
      <c r="AB273" s="397"/>
      <c r="AC273" s="397"/>
      <c r="AD273" s="762"/>
      <c r="AH273" s="397"/>
      <c r="AI273" s="397"/>
      <c r="AJ273" s="397"/>
      <c r="AK273" s="397"/>
      <c r="AL273" s="397"/>
      <c r="AM273" s="397"/>
      <c r="AN273" s="397"/>
      <c r="AO273" s="397"/>
      <c r="AP273" s="397"/>
      <c r="AQ273" s="397"/>
      <c r="AR273" s="397"/>
      <c r="AS273" s="397"/>
      <c r="AT273" s="397"/>
      <c r="AU273" s="397"/>
      <c r="AV273" s="397"/>
      <c r="AW273" s="397"/>
      <c r="AX273" s="397"/>
      <c r="AY273" s="397"/>
      <c r="AZ273" s="397"/>
      <c r="BA273" s="397"/>
      <c r="BB273" s="397"/>
      <c r="BC273" s="397"/>
    </row>
    <row r="274" spans="1:55" s="40" customFormat="1" ht="13.5" customHeight="1" x14ac:dyDescent="0.4">
      <c r="A274" s="50"/>
      <c r="B274" s="1040"/>
      <c r="C274" s="1040"/>
      <c r="D274" s="245" t="s">
        <v>48</v>
      </c>
      <c r="E274" s="246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397"/>
      <c r="U274" s="397"/>
      <c r="V274" s="397"/>
      <c r="W274" s="397"/>
      <c r="X274" s="397"/>
      <c r="Y274" s="397"/>
      <c r="Z274" s="397"/>
      <c r="AA274" s="397"/>
      <c r="AB274" s="397"/>
      <c r="AC274" s="397"/>
      <c r="AD274" s="762"/>
      <c r="AH274" s="397"/>
      <c r="AI274" s="397"/>
      <c r="AJ274" s="397"/>
      <c r="AK274" s="397"/>
      <c r="AL274" s="397"/>
      <c r="AM274" s="397"/>
      <c r="AN274" s="397"/>
      <c r="AO274" s="397"/>
      <c r="AP274" s="397"/>
      <c r="AQ274" s="397"/>
      <c r="AR274" s="397"/>
      <c r="AS274" s="397"/>
      <c r="AT274" s="397"/>
      <c r="AU274" s="397"/>
      <c r="AV274" s="397"/>
      <c r="AW274" s="397"/>
      <c r="AX274" s="397"/>
      <c r="AY274" s="397"/>
      <c r="AZ274" s="397"/>
      <c r="BA274" s="397"/>
      <c r="BB274" s="397"/>
      <c r="BC274" s="397"/>
    </row>
    <row r="275" spans="1:55" s="40" customFormat="1" ht="13.5" customHeight="1" x14ac:dyDescent="0.4">
      <c r="A275" s="50"/>
      <c r="B275" s="1040"/>
      <c r="C275" s="1040"/>
      <c r="D275" s="245" t="s">
        <v>48</v>
      </c>
      <c r="E275" s="246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397"/>
      <c r="U275" s="397"/>
      <c r="V275" s="397"/>
      <c r="W275" s="397"/>
      <c r="X275" s="397"/>
      <c r="Y275" s="397"/>
      <c r="Z275" s="397"/>
      <c r="AA275" s="397"/>
      <c r="AB275" s="397"/>
      <c r="AC275" s="397"/>
      <c r="AD275" s="762"/>
      <c r="AH275" s="397"/>
      <c r="AI275" s="397"/>
      <c r="AJ275" s="397"/>
      <c r="AK275" s="397"/>
      <c r="AL275" s="397"/>
      <c r="AM275" s="397"/>
      <c r="AN275" s="397"/>
      <c r="AO275" s="397"/>
      <c r="AP275" s="397"/>
      <c r="AQ275" s="397"/>
      <c r="AR275" s="397"/>
      <c r="AS275" s="397"/>
      <c r="AT275" s="397"/>
      <c r="AU275" s="397"/>
      <c r="AV275" s="397"/>
      <c r="AW275" s="397"/>
      <c r="AX275" s="397"/>
      <c r="AY275" s="397"/>
      <c r="AZ275" s="397"/>
      <c r="BA275" s="397"/>
      <c r="BB275" s="397"/>
      <c r="BC275" s="397"/>
    </row>
    <row r="276" spans="1:55" s="40" customFormat="1" ht="13.5" customHeight="1" x14ac:dyDescent="0.4">
      <c r="A276" s="50"/>
      <c r="B276" s="1040"/>
      <c r="C276" s="1040"/>
      <c r="D276" s="245" t="s">
        <v>48</v>
      </c>
      <c r="E276" s="246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397"/>
      <c r="U276" s="397"/>
      <c r="V276" s="397"/>
      <c r="W276" s="397"/>
      <c r="X276" s="397"/>
      <c r="Y276" s="397"/>
      <c r="Z276" s="397"/>
      <c r="AA276" s="397"/>
      <c r="AB276" s="397"/>
      <c r="AC276" s="397"/>
      <c r="AD276" s="762"/>
      <c r="AH276" s="397"/>
      <c r="AI276" s="397"/>
      <c r="AJ276" s="397"/>
      <c r="AK276" s="397"/>
      <c r="AL276" s="397"/>
      <c r="AM276" s="397"/>
      <c r="AN276" s="397"/>
      <c r="AO276" s="397"/>
      <c r="AP276" s="397"/>
      <c r="AQ276" s="397"/>
      <c r="AR276" s="397"/>
      <c r="AS276" s="397"/>
      <c r="AT276" s="397"/>
      <c r="AU276" s="397"/>
      <c r="AV276" s="397"/>
      <c r="AW276" s="397"/>
      <c r="AX276" s="397"/>
      <c r="AY276" s="397"/>
      <c r="AZ276" s="397"/>
      <c r="BA276" s="397"/>
      <c r="BB276" s="397"/>
      <c r="BC276" s="397"/>
    </row>
    <row r="277" spans="1:55" s="40" customFormat="1" ht="13.5" customHeight="1" x14ac:dyDescent="0.4">
      <c r="A277" s="50"/>
      <c r="B277" s="1040"/>
      <c r="C277" s="1040"/>
      <c r="D277" s="245" t="s">
        <v>48</v>
      </c>
      <c r="E277" s="246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397"/>
      <c r="U277" s="397"/>
      <c r="V277" s="397"/>
      <c r="W277" s="397"/>
      <c r="X277" s="397"/>
      <c r="Y277" s="397"/>
      <c r="Z277" s="397"/>
      <c r="AA277" s="397"/>
      <c r="AB277" s="397"/>
      <c r="AC277" s="397"/>
      <c r="AD277" s="762"/>
      <c r="AH277" s="397"/>
      <c r="AI277" s="397"/>
      <c r="AJ277" s="397"/>
      <c r="AK277" s="397"/>
      <c r="AL277" s="397"/>
      <c r="AN277" s="397"/>
      <c r="AO277" s="397"/>
      <c r="AP277" s="397"/>
      <c r="AQ277" s="397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397"/>
      <c r="BB277" s="397"/>
      <c r="BC277" s="397"/>
    </row>
    <row r="278" spans="1:55" s="40" customFormat="1" ht="13.5" customHeight="1" x14ac:dyDescent="0.4">
      <c r="A278" s="50"/>
      <c r="B278" s="1040"/>
      <c r="C278" s="1040"/>
      <c r="D278" s="245" t="s">
        <v>48</v>
      </c>
      <c r="E278" s="246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761"/>
      <c r="X278" s="747"/>
      <c r="Y278" s="747"/>
      <c r="Z278" s="747"/>
      <c r="AA278" s="747"/>
      <c r="AB278" s="747"/>
      <c r="AC278" s="747"/>
      <c r="AD278" s="766"/>
      <c r="AE278" s="233"/>
      <c r="AF278" s="233"/>
      <c r="AG278" s="233"/>
      <c r="AH278" s="397"/>
      <c r="AI278" s="397"/>
      <c r="AJ278" s="397"/>
      <c r="AK278" s="397"/>
      <c r="AL278" s="397"/>
      <c r="AM278" s="397"/>
      <c r="AN278" s="397"/>
      <c r="AO278" s="397"/>
      <c r="AP278" s="397"/>
      <c r="AQ278" s="397"/>
      <c r="AR278" s="397"/>
      <c r="AS278" s="397"/>
      <c r="AT278" s="397"/>
      <c r="AU278" s="397"/>
      <c r="AV278" s="397"/>
      <c r="AW278" s="397"/>
      <c r="AX278" s="397"/>
      <c r="AY278" s="397"/>
      <c r="AZ278" s="397"/>
      <c r="BA278" s="397"/>
      <c r="BB278" s="397"/>
      <c r="BC278" s="397"/>
    </row>
    <row r="279" spans="1:55" s="40" customFormat="1" ht="13.5" customHeight="1" x14ac:dyDescent="0.4">
      <c r="A279" s="50"/>
      <c r="B279" s="1040"/>
      <c r="C279" s="1040"/>
      <c r="D279" s="245" t="s">
        <v>48</v>
      </c>
      <c r="E279" s="246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761"/>
      <c r="X279" s="747"/>
      <c r="Y279" s="747"/>
      <c r="Z279" s="747"/>
      <c r="AA279" s="747"/>
      <c r="AB279" s="747"/>
      <c r="AC279" s="747"/>
      <c r="AD279" s="766"/>
      <c r="AE279" s="233"/>
      <c r="AF279" s="233"/>
      <c r="AG279" s="233"/>
      <c r="AH279" s="397"/>
      <c r="AI279" s="397"/>
      <c r="AJ279" s="397"/>
      <c r="AK279" s="397"/>
      <c r="AL279" s="397"/>
      <c r="AM279" s="397"/>
      <c r="AN279" s="397"/>
      <c r="AO279" s="397"/>
      <c r="AP279" s="397"/>
      <c r="AQ279" s="397"/>
      <c r="AR279" s="397"/>
      <c r="AS279" s="397"/>
      <c r="AT279" s="397"/>
      <c r="AU279" s="397"/>
      <c r="AV279" s="397"/>
      <c r="AW279" s="397"/>
      <c r="AX279" s="397"/>
      <c r="AY279" s="397"/>
      <c r="AZ279" s="397"/>
      <c r="BA279" s="397"/>
      <c r="BB279" s="397"/>
      <c r="BC279" s="397"/>
    </row>
    <row r="280" spans="1:55" s="40" customFormat="1" ht="13.5" customHeight="1" x14ac:dyDescent="0.4">
      <c r="A280" s="50"/>
      <c r="B280" s="1040"/>
      <c r="C280" s="1040"/>
      <c r="D280" s="245" t="s">
        <v>48</v>
      </c>
      <c r="E280" s="246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761"/>
      <c r="X280" s="747"/>
      <c r="Y280" s="747"/>
      <c r="Z280" s="747"/>
      <c r="AA280" s="747"/>
      <c r="AB280" s="747"/>
      <c r="AC280" s="747"/>
      <c r="AD280" s="766"/>
      <c r="AE280" s="233"/>
      <c r="AF280" s="233"/>
      <c r="AG280" s="233"/>
      <c r="AH280" s="397"/>
      <c r="AI280" s="397"/>
      <c r="AJ280" s="397"/>
      <c r="AK280" s="397"/>
      <c r="AL280" s="397"/>
      <c r="AM280" s="397"/>
      <c r="AN280" s="397"/>
      <c r="AO280" s="397"/>
      <c r="AP280" s="397"/>
      <c r="AQ280" s="397"/>
      <c r="AR280" s="397"/>
      <c r="AS280" s="397"/>
      <c r="AT280" s="397"/>
      <c r="AU280" s="397"/>
      <c r="AV280" s="397"/>
      <c r="AW280" s="397"/>
      <c r="AX280" s="397"/>
      <c r="AY280" s="397"/>
      <c r="AZ280" s="397"/>
      <c r="BA280" s="397"/>
      <c r="BB280" s="397"/>
      <c r="BC280" s="397"/>
    </row>
    <row r="281" spans="1:55" s="40" customFormat="1" ht="13.5" customHeight="1" x14ac:dyDescent="0.4">
      <c r="A281" s="50"/>
      <c r="B281" s="1040"/>
      <c r="C281" s="1040"/>
      <c r="D281" s="245" t="s">
        <v>48</v>
      </c>
      <c r="E281" s="246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761"/>
      <c r="X281" s="747"/>
      <c r="Y281" s="747"/>
      <c r="Z281" s="747"/>
      <c r="AA281" s="747"/>
      <c r="AB281" s="747"/>
      <c r="AC281" s="747"/>
      <c r="AD281" s="766"/>
      <c r="AE281" s="233"/>
      <c r="AF281" s="233"/>
      <c r="AG281" s="233"/>
      <c r="AH281" s="397"/>
      <c r="AI281" s="397"/>
      <c r="AJ281" s="397"/>
      <c r="AK281" s="397"/>
      <c r="AL281" s="397"/>
      <c r="AM281" s="397"/>
      <c r="AN281" s="397"/>
      <c r="AO281" s="397"/>
      <c r="AP281" s="397"/>
      <c r="AQ281" s="397"/>
      <c r="AR281" s="397"/>
      <c r="AS281" s="397"/>
      <c r="AT281" s="397"/>
      <c r="AU281" s="397"/>
      <c r="AV281" s="397"/>
      <c r="AW281" s="397"/>
      <c r="AX281" s="397"/>
      <c r="AY281" s="397"/>
      <c r="AZ281" s="397"/>
      <c r="BA281" s="397"/>
      <c r="BB281" s="397"/>
      <c r="BC281" s="397"/>
    </row>
    <row r="282" spans="1:55" s="40" customFormat="1" ht="13.5" customHeight="1" x14ac:dyDescent="0.4">
      <c r="A282" s="50"/>
      <c r="B282" s="1040"/>
      <c r="C282" s="1040"/>
      <c r="D282" s="245" t="s">
        <v>48</v>
      </c>
      <c r="E282" s="246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761"/>
      <c r="X282" s="747"/>
      <c r="Y282" s="747"/>
      <c r="Z282" s="747"/>
      <c r="AA282" s="747"/>
      <c r="AB282" s="747"/>
      <c r="AC282" s="747"/>
      <c r="AD282" s="766"/>
      <c r="AE282" s="233"/>
      <c r="AF282" s="233"/>
      <c r="AG282" s="233"/>
      <c r="AH282" s="397"/>
      <c r="AI282" s="397"/>
      <c r="AJ282" s="397"/>
      <c r="AK282" s="397"/>
      <c r="AL282" s="397"/>
      <c r="AM282" s="397"/>
      <c r="AN282" s="397"/>
      <c r="AO282" s="397"/>
      <c r="AP282" s="397"/>
      <c r="AQ282" s="397"/>
      <c r="AR282" s="397"/>
      <c r="AS282" s="397"/>
      <c r="AT282" s="397"/>
      <c r="AU282" s="397"/>
      <c r="AV282" s="397"/>
      <c r="AW282" s="397"/>
      <c r="AX282" s="397"/>
      <c r="AY282" s="397"/>
      <c r="AZ282" s="397"/>
      <c r="BA282" s="397"/>
      <c r="BB282" s="397"/>
      <c r="BC282" s="397"/>
    </row>
    <row r="283" spans="1:55" s="40" customFormat="1" ht="13.5" customHeight="1" x14ac:dyDescent="0.4">
      <c r="A283" s="50"/>
      <c r="B283" s="1040"/>
      <c r="C283" s="1040"/>
      <c r="D283" s="245" t="s">
        <v>48</v>
      </c>
      <c r="E283" s="246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761"/>
      <c r="X283" s="747"/>
      <c r="Y283" s="747"/>
      <c r="Z283" s="747"/>
      <c r="AA283" s="747"/>
      <c r="AB283" s="747"/>
      <c r="AC283" s="747"/>
      <c r="AD283" s="766"/>
      <c r="AE283" s="233"/>
      <c r="AF283" s="233"/>
      <c r="AG283" s="233"/>
      <c r="AH283" s="397"/>
      <c r="AI283" s="397"/>
      <c r="AJ283" s="397"/>
      <c r="AK283" s="397"/>
      <c r="AL283" s="397"/>
      <c r="AM283" s="397"/>
      <c r="AN283" s="397"/>
      <c r="AO283" s="397"/>
      <c r="AP283" s="397"/>
      <c r="AQ283" s="397"/>
      <c r="AR283" s="397"/>
      <c r="AS283" s="397"/>
      <c r="AT283" s="397"/>
      <c r="AU283" s="397"/>
      <c r="AV283" s="397"/>
      <c r="AW283" s="397"/>
      <c r="AX283" s="397"/>
      <c r="AY283" s="397"/>
      <c r="AZ283" s="397"/>
      <c r="BA283" s="397"/>
      <c r="BB283" s="397"/>
      <c r="BC283" s="397"/>
    </row>
    <row r="284" spans="1:55" s="40" customFormat="1" ht="13.5" customHeight="1" x14ac:dyDescent="0.4">
      <c r="A284" s="50"/>
      <c r="B284" s="1040"/>
      <c r="C284" s="1040"/>
      <c r="D284" s="245" t="s">
        <v>48</v>
      </c>
      <c r="E284" s="246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761"/>
      <c r="X284" s="747"/>
      <c r="Y284" s="747"/>
      <c r="Z284" s="747"/>
      <c r="AA284" s="747"/>
      <c r="AB284" s="747"/>
      <c r="AC284" s="747"/>
      <c r="AD284" s="766"/>
      <c r="AE284" s="233"/>
      <c r="AF284" s="233"/>
      <c r="AG284" s="233"/>
      <c r="AH284" s="397"/>
      <c r="AI284" s="397"/>
      <c r="AJ284" s="397"/>
      <c r="AK284" s="397"/>
      <c r="AL284" s="397"/>
      <c r="AM284" s="397"/>
      <c r="AN284" s="397"/>
      <c r="AO284" s="397"/>
      <c r="AP284" s="397"/>
      <c r="AQ284" s="397"/>
      <c r="AR284" s="397"/>
      <c r="AS284" s="397"/>
      <c r="AT284" s="397"/>
      <c r="AU284" s="397"/>
      <c r="AV284" s="397"/>
      <c r="AW284" s="397"/>
      <c r="AX284" s="397"/>
      <c r="AY284" s="397"/>
      <c r="AZ284" s="397"/>
      <c r="BA284" s="397"/>
      <c r="BB284" s="397"/>
      <c r="BC284" s="397"/>
    </row>
    <row r="285" spans="1:55" s="40" customFormat="1" ht="13.5" customHeight="1" x14ac:dyDescent="0.4">
      <c r="A285" s="50"/>
      <c r="B285" s="1040"/>
      <c r="C285" s="1040"/>
      <c r="D285" s="245"/>
      <c r="E285" s="246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761"/>
      <c r="X285" s="747"/>
      <c r="Y285" s="747"/>
      <c r="Z285" s="747"/>
      <c r="AA285" s="747"/>
      <c r="AB285" s="747"/>
      <c r="AC285" s="747"/>
      <c r="AD285" s="766"/>
      <c r="AE285" s="233"/>
      <c r="AF285" s="233"/>
      <c r="AG285" s="233"/>
      <c r="AH285" s="397"/>
      <c r="AI285" s="397"/>
      <c r="AJ285" s="397"/>
      <c r="AK285" s="397"/>
      <c r="AL285" s="397"/>
      <c r="AM285" s="397"/>
      <c r="AN285" s="397"/>
      <c r="AO285" s="397"/>
      <c r="AP285" s="397"/>
      <c r="AQ285" s="397"/>
      <c r="AR285" s="397"/>
      <c r="AS285" s="397"/>
      <c r="AT285" s="397"/>
      <c r="AU285" s="397"/>
      <c r="AV285" s="397"/>
      <c r="AW285" s="397"/>
      <c r="AX285" s="397"/>
      <c r="AY285" s="397"/>
      <c r="AZ285" s="397"/>
      <c r="BA285" s="397"/>
      <c r="BB285" s="397"/>
      <c r="BC285" s="397"/>
    </row>
    <row r="286" spans="1:55" s="814" customFormat="1" ht="27" customHeight="1" x14ac:dyDescent="0.4">
      <c r="A286" s="1042"/>
      <c r="B286" s="1042"/>
      <c r="C286" s="1042"/>
      <c r="E286" s="814" t="str">
        <f>$E$50</f>
        <v>SÖGULEG LOSUN</v>
      </c>
      <c r="F286" s="815"/>
      <c r="G286" s="815"/>
      <c r="H286" s="815"/>
      <c r="I286" s="815"/>
      <c r="J286" s="815"/>
      <c r="K286" s="815"/>
      <c r="L286" s="815"/>
      <c r="M286" s="815"/>
      <c r="N286" s="815"/>
      <c r="O286" s="815"/>
      <c r="P286" s="815"/>
      <c r="Q286" s="815"/>
      <c r="R286" s="815"/>
      <c r="S286" s="815"/>
      <c r="T286" s="815"/>
      <c r="U286" s="815"/>
      <c r="V286" s="815"/>
      <c r="W286" s="815"/>
      <c r="X286" s="815"/>
      <c r="Y286" s="815"/>
      <c r="Z286" s="815"/>
      <c r="AA286" s="815"/>
      <c r="AB286" s="815"/>
      <c r="AC286" s="815"/>
      <c r="AD286" s="816"/>
      <c r="AG286" s="814" t="str">
        <f>$AG$50</f>
        <v>HISTORICAL EMISSIONS</v>
      </c>
      <c r="AH286" s="815"/>
      <c r="AI286" s="815"/>
      <c r="AJ286" s="815"/>
      <c r="AK286" s="815"/>
      <c r="AL286" s="815"/>
      <c r="AM286" s="815"/>
      <c r="AN286" s="815"/>
      <c r="AO286" s="815"/>
      <c r="AP286" s="815"/>
      <c r="AQ286" s="815"/>
      <c r="AR286" s="815"/>
      <c r="AS286" s="815"/>
      <c r="AT286" s="815"/>
      <c r="AU286" s="815"/>
      <c r="AV286" s="815"/>
      <c r="AW286" s="815"/>
      <c r="AX286" s="815"/>
      <c r="AY286" s="815"/>
      <c r="AZ286" s="815"/>
      <c r="BA286" s="815"/>
      <c r="BB286" s="815"/>
      <c r="BC286" s="815"/>
    </row>
    <row r="287" spans="1:55" s="40" customFormat="1" ht="14.4" customHeight="1" x14ac:dyDescent="0.4">
      <c r="A287" s="50"/>
      <c r="B287" s="1038"/>
      <c r="C287" s="1038"/>
      <c r="D287" s="245" t="s">
        <v>48</v>
      </c>
      <c r="F287" s="397"/>
      <c r="G287" s="397"/>
      <c r="H287" s="240"/>
      <c r="I287" s="397"/>
      <c r="J287" s="397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  <c r="Z287" s="397"/>
      <c r="AA287" s="397"/>
      <c r="AB287" s="397"/>
      <c r="AC287" s="397"/>
      <c r="AD287" s="762"/>
      <c r="AH287" s="397"/>
      <c r="AI287" s="397"/>
      <c r="AJ287" s="397"/>
      <c r="AK287" s="397"/>
      <c r="AL287" s="397"/>
      <c r="AM287" s="397"/>
      <c r="AN287" s="397"/>
      <c r="AO287" s="397"/>
      <c r="AP287" s="397"/>
      <c r="AQ287" s="397"/>
      <c r="AR287" s="397"/>
      <c r="AS287" s="397"/>
      <c r="AT287" s="397"/>
      <c r="AU287" s="397"/>
      <c r="AV287" s="397"/>
      <c r="AW287" s="397"/>
      <c r="AX287" s="397"/>
      <c r="AY287" s="397"/>
      <c r="AZ287" s="397"/>
      <c r="BA287" s="397"/>
      <c r="BB287" s="397"/>
      <c r="BC287" s="397"/>
    </row>
    <row r="288" spans="1:55" s="40" customFormat="1" ht="14.4" customHeight="1" x14ac:dyDescent="0.4">
      <c r="A288" s="50"/>
      <c r="B288" s="1038"/>
      <c r="C288" s="1038"/>
      <c r="D288" s="245" t="s">
        <v>48</v>
      </c>
      <c r="F288" s="397"/>
      <c r="G288" s="397"/>
      <c r="H288" s="240"/>
      <c r="I288" s="397"/>
      <c r="J288" s="397"/>
      <c r="K288" s="397"/>
      <c r="L288" s="397"/>
      <c r="M288" s="397"/>
      <c r="N288" s="397"/>
      <c r="O288" s="397"/>
      <c r="P288" s="397"/>
      <c r="Q288" s="397"/>
      <c r="R288" s="397"/>
      <c r="S288" s="397"/>
      <c r="T288" s="397"/>
      <c r="U288" s="397"/>
      <c r="V288" s="397"/>
      <c r="W288" s="397"/>
      <c r="X288" s="397"/>
      <c r="Y288" s="397"/>
      <c r="Z288" s="397"/>
      <c r="AA288" s="397"/>
      <c r="AB288" s="397"/>
      <c r="AC288" s="397"/>
      <c r="AD288" s="762"/>
      <c r="AH288" s="397"/>
      <c r="AI288" s="397"/>
      <c r="AJ288" s="397"/>
      <c r="AK288" s="397"/>
      <c r="AL288" s="397"/>
      <c r="AM288" s="397"/>
      <c r="AN288" s="397"/>
      <c r="AO288" s="397"/>
      <c r="AP288" s="397"/>
      <c r="AQ288" s="397"/>
      <c r="AR288" s="397"/>
      <c r="AS288" s="397"/>
      <c r="AT288" s="397"/>
      <c r="AU288" s="397"/>
      <c r="AV288" s="397"/>
      <c r="AW288" s="397"/>
      <c r="AX288" s="397"/>
      <c r="AY288" s="397"/>
      <c r="AZ288" s="397"/>
      <c r="BA288" s="397"/>
      <c r="BB288" s="397"/>
      <c r="BC288" s="397"/>
    </row>
    <row r="289" spans="1:55" s="40" customFormat="1" ht="14.4" customHeight="1" x14ac:dyDescent="0.4">
      <c r="A289" s="50"/>
      <c r="B289" s="1038"/>
      <c r="C289" s="1038"/>
      <c r="D289" s="245" t="s">
        <v>48</v>
      </c>
      <c r="F289" s="397"/>
      <c r="G289" s="397"/>
      <c r="H289" s="240"/>
      <c r="I289" s="397"/>
      <c r="J289" s="397"/>
      <c r="K289" s="397"/>
      <c r="L289" s="397"/>
      <c r="M289" s="397"/>
      <c r="N289" s="397"/>
      <c r="O289" s="397"/>
      <c r="P289" s="397"/>
      <c r="Q289" s="397"/>
      <c r="R289" s="397"/>
      <c r="S289" s="397"/>
      <c r="T289" s="397"/>
      <c r="U289" s="397"/>
      <c r="V289" s="397"/>
      <c r="W289" s="397"/>
      <c r="X289" s="397"/>
      <c r="Y289" s="397"/>
      <c r="Z289" s="397"/>
      <c r="AA289" s="397"/>
      <c r="AB289" s="397"/>
      <c r="AC289" s="397"/>
      <c r="AD289" s="762"/>
      <c r="AH289" s="397"/>
      <c r="AI289" s="397"/>
      <c r="AJ289" s="397"/>
      <c r="AK289" s="397"/>
      <c r="AL289" s="397"/>
      <c r="AM289" s="397"/>
      <c r="AN289" s="397"/>
      <c r="AO289" s="397"/>
      <c r="AP289" s="397"/>
      <c r="AQ289" s="397"/>
      <c r="AR289" s="397"/>
      <c r="AS289" s="397"/>
      <c r="AT289" s="397"/>
      <c r="AU289" s="397"/>
      <c r="AV289" s="397"/>
      <c r="AW289" s="397"/>
      <c r="AX289" s="397"/>
      <c r="AY289" s="397"/>
      <c r="AZ289" s="397"/>
      <c r="BA289" s="397"/>
      <c r="BB289" s="397"/>
      <c r="BC289" s="397"/>
    </row>
    <row r="290" spans="1:55" s="40" customFormat="1" x14ac:dyDescent="0.4">
      <c r="A290" s="50"/>
      <c r="B290" s="1038"/>
      <c r="C290" s="1038"/>
      <c r="D290" s="245" t="s">
        <v>48</v>
      </c>
      <c r="F290" s="397"/>
      <c r="G290" s="397"/>
      <c r="H290" s="240"/>
      <c r="I290" s="397"/>
      <c r="J290" s="397"/>
      <c r="K290" s="397"/>
      <c r="L290" s="397"/>
      <c r="M290" s="397"/>
      <c r="N290" s="397"/>
      <c r="O290" s="397"/>
      <c r="P290" s="397"/>
      <c r="Q290" s="397"/>
      <c r="R290" s="397"/>
      <c r="S290" s="397"/>
      <c r="T290" s="397"/>
      <c r="U290" s="397"/>
      <c r="V290" s="397"/>
      <c r="W290" s="397"/>
      <c r="X290" s="397"/>
      <c r="Y290" s="397"/>
      <c r="Z290" s="397"/>
      <c r="AA290" s="397"/>
      <c r="AB290" s="397"/>
      <c r="AC290" s="397"/>
      <c r="AD290" s="762"/>
      <c r="AH290" s="397"/>
      <c r="AI290" s="397"/>
      <c r="AJ290" s="397"/>
      <c r="AK290" s="397"/>
      <c r="AL290" s="397"/>
      <c r="AM290" s="397"/>
      <c r="AN290" s="397"/>
      <c r="AO290" s="397"/>
      <c r="AP290" s="397"/>
      <c r="AQ290" s="397"/>
      <c r="AR290" s="397"/>
      <c r="AS290" s="397"/>
      <c r="AT290" s="397"/>
      <c r="AU290" s="397"/>
      <c r="AV290" s="397"/>
      <c r="AW290" s="397"/>
      <c r="AX290" s="397"/>
      <c r="AY290" s="397"/>
      <c r="AZ290" s="397"/>
      <c r="BA290" s="397"/>
      <c r="BB290" s="397"/>
      <c r="BC290" s="397"/>
    </row>
    <row r="291" spans="1:55" s="40" customFormat="1" x14ac:dyDescent="0.4">
      <c r="A291" s="50"/>
      <c r="B291" s="1038"/>
      <c r="C291" s="1038"/>
      <c r="D291" s="245" t="s">
        <v>48</v>
      </c>
      <c r="F291" s="397"/>
      <c r="G291" s="397"/>
      <c r="H291" s="240"/>
      <c r="I291" s="397"/>
      <c r="J291" s="397"/>
      <c r="K291" s="397"/>
      <c r="L291" s="397"/>
      <c r="M291" s="397"/>
      <c r="N291" s="397"/>
      <c r="O291" s="397"/>
      <c r="P291" s="397"/>
      <c r="Q291" s="397"/>
      <c r="R291" s="397"/>
      <c r="S291" s="397"/>
      <c r="T291" s="397"/>
      <c r="U291" s="397"/>
      <c r="V291" s="397"/>
      <c r="W291" s="397"/>
      <c r="X291" s="397"/>
      <c r="Y291" s="397"/>
      <c r="Z291" s="397"/>
      <c r="AA291" s="397"/>
      <c r="AB291" s="397"/>
      <c r="AC291" s="397"/>
      <c r="AD291" s="762"/>
      <c r="AH291" s="397"/>
      <c r="AI291" s="397"/>
      <c r="AJ291" s="397"/>
      <c r="AK291" s="397"/>
      <c r="AL291" s="397"/>
      <c r="AM291" s="397"/>
      <c r="AN291" s="397"/>
      <c r="AO291" s="397"/>
      <c r="AP291" s="397"/>
      <c r="AQ291" s="397"/>
      <c r="AR291" s="397"/>
      <c r="AS291" s="397"/>
      <c r="AT291" s="397"/>
      <c r="AU291" s="397"/>
      <c r="AV291" s="397"/>
      <c r="AW291" s="397"/>
      <c r="AX291" s="397"/>
      <c r="AY291" s="397"/>
      <c r="AZ291" s="397"/>
      <c r="BA291" s="397"/>
      <c r="BB291" s="397"/>
      <c r="BC291" s="397"/>
    </row>
    <row r="292" spans="1:55" s="40" customFormat="1" x14ac:dyDescent="0.4">
      <c r="A292" s="50"/>
      <c r="B292" s="1038"/>
      <c r="C292" s="1038"/>
      <c r="D292" s="245" t="s">
        <v>48</v>
      </c>
      <c r="F292" s="397"/>
      <c r="G292" s="397"/>
      <c r="H292" s="240"/>
      <c r="I292" s="397"/>
      <c r="J292" s="397"/>
      <c r="K292" s="397"/>
      <c r="L292" s="397"/>
      <c r="M292" s="397"/>
      <c r="N292" s="397"/>
      <c r="O292" s="397"/>
      <c r="P292" s="397"/>
      <c r="Q292" s="397"/>
      <c r="R292" s="397"/>
      <c r="S292" s="397"/>
      <c r="T292" s="397"/>
      <c r="U292" s="397"/>
      <c r="V292" s="397"/>
      <c r="W292" s="397"/>
      <c r="X292" s="397"/>
      <c r="Y292" s="397"/>
      <c r="Z292" s="397"/>
      <c r="AA292" s="397"/>
      <c r="AB292" s="397"/>
      <c r="AC292" s="397"/>
      <c r="AD292" s="762"/>
      <c r="AH292" s="397"/>
      <c r="AI292" s="397"/>
      <c r="AJ292" s="397"/>
      <c r="AK292" s="397"/>
      <c r="AL292" s="397"/>
      <c r="AM292" s="397"/>
      <c r="AN292" s="397"/>
      <c r="AO292" s="397"/>
      <c r="AP292" s="397"/>
      <c r="AQ292" s="397"/>
      <c r="AR292" s="397"/>
      <c r="AS292" s="397"/>
      <c r="AT292" s="397"/>
      <c r="AU292" s="397"/>
      <c r="AV292" s="397"/>
      <c r="AW292" s="397"/>
      <c r="AX292" s="397"/>
      <c r="AY292" s="397"/>
      <c r="AZ292" s="397"/>
      <c r="BA292" s="397"/>
      <c r="BB292" s="397"/>
      <c r="BC292" s="397"/>
    </row>
    <row r="293" spans="1:55" s="40" customFormat="1" x14ac:dyDescent="0.4">
      <c r="A293" s="50"/>
      <c r="B293" s="1038"/>
      <c r="C293" s="1038"/>
      <c r="D293" s="245" t="s">
        <v>48</v>
      </c>
      <c r="F293" s="397"/>
      <c r="G293" s="397"/>
      <c r="H293" s="240"/>
      <c r="I293" s="397"/>
      <c r="J293" s="397"/>
      <c r="K293" s="397"/>
      <c r="L293" s="397"/>
      <c r="M293" s="397"/>
      <c r="N293" s="397"/>
      <c r="O293" s="397"/>
      <c r="P293" s="397"/>
      <c r="Q293" s="397"/>
      <c r="R293" s="397"/>
      <c r="S293" s="397"/>
      <c r="T293" s="397"/>
      <c r="U293" s="397"/>
      <c r="V293" s="397"/>
      <c r="W293" s="397"/>
      <c r="X293" s="397"/>
      <c r="Y293" s="397"/>
      <c r="Z293" s="397"/>
      <c r="AA293" s="397"/>
      <c r="AB293" s="397"/>
      <c r="AC293" s="397"/>
      <c r="AD293" s="762"/>
      <c r="AH293" s="397"/>
      <c r="AI293" s="397"/>
      <c r="AJ293" s="397"/>
      <c r="AK293" s="397"/>
      <c r="AL293" s="397"/>
      <c r="AM293" s="397"/>
      <c r="AN293" s="397"/>
      <c r="AO293" s="397"/>
      <c r="AP293" s="397"/>
      <c r="AQ293" s="397"/>
      <c r="AR293" s="397"/>
      <c r="AS293" s="397"/>
      <c r="AT293" s="397"/>
      <c r="AU293" s="397"/>
      <c r="AV293" s="397"/>
      <c r="AW293" s="397"/>
      <c r="AX293" s="397"/>
      <c r="AY293" s="397"/>
      <c r="AZ293" s="397"/>
      <c r="BA293" s="397"/>
      <c r="BB293" s="397"/>
      <c r="BC293" s="397"/>
    </row>
    <row r="294" spans="1:55" s="40" customFormat="1" x14ac:dyDescent="0.4">
      <c r="A294" s="50"/>
      <c r="B294" s="1038"/>
      <c r="C294" s="1038"/>
      <c r="D294" s="245" t="s">
        <v>48</v>
      </c>
      <c r="F294" s="397"/>
      <c r="G294" s="397"/>
      <c r="H294" s="240"/>
      <c r="I294" s="397"/>
      <c r="J294" s="397"/>
      <c r="K294" s="397"/>
      <c r="L294" s="397"/>
      <c r="M294" s="397"/>
      <c r="N294" s="397"/>
      <c r="O294" s="397"/>
      <c r="P294" s="397"/>
      <c r="Q294" s="397"/>
      <c r="R294" s="397"/>
      <c r="S294" s="397"/>
      <c r="T294" s="397"/>
      <c r="U294" s="397"/>
      <c r="V294" s="397"/>
      <c r="W294" s="397"/>
      <c r="X294" s="397"/>
      <c r="Y294" s="397"/>
      <c r="Z294" s="397"/>
      <c r="AA294" s="397"/>
      <c r="AB294" s="397"/>
      <c r="AC294" s="397"/>
      <c r="AD294" s="762"/>
      <c r="AH294" s="397"/>
      <c r="AI294" s="397"/>
      <c r="AJ294" s="397"/>
      <c r="AK294" s="397"/>
      <c r="AL294" s="397"/>
      <c r="AM294" s="397"/>
      <c r="AN294" s="397"/>
      <c r="AO294" s="397"/>
      <c r="AP294" s="397"/>
      <c r="AQ294" s="397"/>
      <c r="AR294" s="397"/>
      <c r="AS294" s="397"/>
      <c r="AT294" s="397"/>
      <c r="AU294" s="397"/>
      <c r="AV294" s="397"/>
      <c r="AW294" s="397"/>
      <c r="AX294" s="397"/>
      <c r="AY294" s="397"/>
      <c r="AZ294" s="397"/>
      <c r="BA294" s="397"/>
      <c r="BB294" s="397"/>
      <c r="BC294" s="397"/>
    </row>
    <row r="295" spans="1:55" s="40" customFormat="1" ht="15" customHeight="1" x14ac:dyDescent="0.4">
      <c r="A295" s="50"/>
      <c r="B295" s="1038"/>
      <c r="C295" s="1038"/>
      <c r="D295" s="245" t="s">
        <v>48</v>
      </c>
      <c r="F295" s="397"/>
      <c r="G295" s="397"/>
      <c r="H295" s="240"/>
      <c r="I295" s="397"/>
      <c r="J295" s="397"/>
      <c r="K295" s="397"/>
      <c r="L295" s="397"/>
      <c r="M295" s="397"/>
      <c r="N295" s="397"/>
      <c r="O295" s="397"/>
      <c r="P295" s="397"/>
      <c r="Q295" s="397"/>
      <c r="R295" s="397"/>
      <c r="S295" s="397"/>
      <c r="T295" s="397"/>
      <c r="U295" s="397"/>
      <c r="V295" s="397"/>
      <c r="W295" s="397"/>
      <c r="X295" s="397"/>
      <c r="Y295" s="397"/>
      <c r="Z295" s="397"/>
      <c r="AA295" s="397"/>
      <c r="AB295" s="397"/>
      <c r="AC295" s="397"/>
      <c r="AD295" s="762"/>
      <c r="AH295" s="397"/>
      <c r="AI295" s="397"/>
      <c r="AJ295" s="397"/>
      <c r="AK295" s="397"/>
      <c r="AL295" s="397"/>
      <c r="AM295" s="397"/>
      <c r="AN295" s="397"/>
      <c r="AO295" s="397"/>
      <c r="AP295" s="397"/>
      <c r="AQ295" s="397"/>
      <c r="AR295" s="397"/>
      <c r="AS295" s="397"/>
      <c r="AT295" s="397"/>
      <c r="AU295" s="397"/>
      <c r="AV295" s="397"/>
      <c r="AW295" s="397"/>
      <c r="AX295" s="397"/>
      <c r="AY295" s="397"/>
      <c r="AZ295" s="397"/>
      <c r="BA295" s="397"/>
      <c r="BB295" s="397"/>
      <c r="BC295" s="397"/>
    </row>
    <row r="296" spans="1:55" s="40" customFormat="1" ht="15" customHeight="1" x14ac:dyDescent="0.4">
      <c r="A296" s="50"/>
      <c r="B296" s="1038"/>
      <c r="C296" s="1038"/>
      <c r="D296" s="245" t="s">
        <v>48</v>
      </c>
      <c r="F296" s="397"/>
      <c r="G296" s="397"/>
      <c r="H296" s="240"/>
      <c r="I296" s="397"/>
      <c r="J296" s="397"/>
      <c r="K296" s="397"/>
      <c r="L296" s="397"/>
      <c r="M296" s="397"/>
      <c r="N296" s="397"/>
      <c r="O296" s="397"/>
      <c r="P296" s="397"/>
      <c r="Q296" s="397"/>
      <c r="R296" s="397"/>
      <c r="S296" s="397"/>
      <c r="T296" s="397"/>
      <c r="U296" s="397"/>
      <c r="V296" s="397"/>
      <c r="W296" s="397"/>
      <c r="X296" s="397"/>
      <c r="Y296" s="397"/>
      <c r="Z296" s="397"/>
      <c r="AA296" s="397"/>
      <c r="AB296" s="397"/>
      <c r="AC296" s="397"/>
      <c r="AD296" s="762"/>
      <c r="AH296" s="397"/>
      <c r="AI296" s="397"/>
      <c r="AJ296" s="397"/>
      <c r="AK296" s="397"/>
      <c r="AL296" s="397"/>
      <c r="AM296" s="397"/>
      <c r="AN296" s="397"/>
      <c r="AO296" s="397"/>
      <c r="AP296" s="397"/>
      <c r="AQ296" s="397"/>
      <c r="AR296" s="397"/>
      <c r="AS296" s="397"/>
      <c r="AT296" s="397"/>
      <c r="AU296" s="397"/>
      <c r="AV296" s="397"/>
      <c r="AW296" s="397"/>
      <c r="AX296" s="397"/>
      <c r="AY296" s="397"/>
      <c r="AZ296" s="397"/>
      <c r="BA296" s="397"/>
      <c r="BB296" s="397"/>
      <c r="BC296" s="397"/>
    </row>
    <row r="297" spans="1:55" s="40" customFormat="1" ht="15" customHeight="1" x14ac:dyDescent="0.4">
      <c r="A297" s="50"/>
      <c r="B297" s="1038"/>
      <c r="C297" s="1038"/>
      <c r="D297" s="245" t="s">
        <v>48</v>
      </c>
      <c r="F297" s="397"/>
      <c r="G297" s="397"/>
      <c r="H297" s="240"/>
      <c r="I297" s="397"/>
      <c r="J297" s="397"/>
      <c r="K297" s="397"/>
      <c r="L297" s="397"/>
      <c r="M297" s="397"/>
      <c r="N297" s="397"/>
      <c r="O297" s="397"/>
      <c r="P297" s="397"/>
      <c r="Q297" s="397"/>
      <c r="R297" s="397"/>
      <c r="S297" s="397"/>
      <c r="T297" s="397"/>
      <c r="U297" s="397"/>
      <c r="V297" s="397"/>
      <c r="W297" s="397"/>
      <c r="X297" s="397"/>
      <c r="Y297" s="397"/>
      <c r="Z297" s="397"/>
      <c r="AA297" s="397"/>
      <c r="AB297" s="397"/>
      <c r="AC297" s="397"/>
      <c r="AD297" s="762"/>
      <c r="AH297" s="397"/>
      <c r="AI297" s="397"/>
      <c r="AJ297" s="397"/>
      <c r="AK297" s="397"/>
      <c r="AL297" s="397"/>
      <c r="AM297" s="397"/>
      <c r="AN297" s="397"/>
      <c r="AO297" s="397"/>
      <c r="AP297" s="397"/>
      <c r="AQ297" s="397"/>
      <c r="AR297" s="397"/>
      <c r="AS297" s="397"/>
      <c r="AT297" s="397"/>
      <c r="AU297" s="397"/>
      <c r="AV297" s="397"/>
      <c r="AW297" s="397"/>
      <c r="AX297" s="397"/>
      <c r="AY297" s="397"/>
      <c r="AZ297" s="397"/>
      <c r="BA297" s="397"/>
      <c r="BB297" s="397"/>
      <c r="BC297" s="397"/>
    </row>
    <row r="298" spans="1:55" s="40" customFormat="1" x14ac:dyDescent="0.4">
      <c r="A298" s="50"/>
      <c r="B298" s="1038"/>
      <c r="C298" s="1038"/>
      <c r="D298" s="245" t="s">
        <v>48</v>
      </c>
      <c r="F298" s="397"/>
      <c r="G298" s="397"/>
      <c r="H298" s="240"/>
      <c r="I298" s="397"/>
      <c r="J298" s="397"/>
      <c r="K298" s="397"/>
      <c r="L298" s="397"/>
      <c r="M298" s="397"/>
      <c r="N298" s="397"/>
      <c r="O298" s="397"/>
      <c r="P298" s="397"/>
      <c r="Q298" s="397"/>
      <c r="R298" s="397"/>
      <c r="S298" s="397"/>
      <c r="T298" s="397"/>
      <c r="U298" s="397"/>
      <c r="V298" s="397"/>
      <c r="W298" s="397"/>
      <c r="X298" s="397"/>
      <c r="Y298" s="397"/>
      <c r="Z298" s="397"/>
      <c r="AA298" s="397"/>
      <c r="AB298" s="397"/>
      <c r="AC298" s="397"/>
      <c r="AD298" s="762"/>
      <c r="AH298" s="397"/>
      <c r="AI298" s="397"/>
      <c r="AJ298" s="397"/>
      <c r="AK298" s="397"/>
      <c r="AL298" s="397"/>
      <c r="AM298" s="397"/>
      <c r="AN298" s="397"/>
      <c r="AO298" s="397"/>
      <c r="AP298" s="397"/>
      <c r="AQ298" s="397"/>
      <c r="AR298" s="397"/>
      <c r="AS298" s="397"/>
      <c r="AT298" s="397"/>
      <c r="AU298" s="397"/>
      <c r="AV298" s="397"/>
      <c r="AW298" s="397"/>
      <c r="AX298" s="397"/>
      <c r="AY298" s="397"/>
      <c r="AZ298" s="397"/>
      <c r="BA298" s="397"/>
      <c r="BB298" s="397"/>
      <c r="BC298" s="397"/>
    </row>
    <row r="299" spans="1:55" s="40" customFormat="1" x14ac:dyDescent="0.4">
      <c r="A299" s="50"/>
      <c r="B299" s="1038"/>
      <c r="C299" s="1038"/>
      <c r="D299" s="245" t="s">
        <v>48</v>
      </c>
      <c r="F299" s="397"/>
      <c r="G299" s="397"/>
      <c r="H299" s="240"/>
      <c r="I299" s="397"/>
      <c r="J299" s="397"/>
      <c r="K299" s="397"/>
      <c r="L299" s="397"/>
      <c r="M299" s="397"/>
      <c r="N299" s="397"/>
      <c r="O299" s="397"/>
      <c r="P299" s="397"/>
      <c r="Q299" s="397"/>
      <c r="R299" s="397"/>
      <c r="S299" s="397"/>
      <c r="T299" s="397"/>
      <c r="U299" s="397"/>
      <c r="V299" s="397"/>
      <c r="W299" s="397"/>
      <c r="X299" s="397"/>
      <c r="Y299" s="397"/>
      <c r="Z299" s="397"/>
      <c r="AA299" s="397"/>
      <c r="AB299" s="397"/>
      <c r="AC299" s="397"/>
      <c r="AD299" s="762"/>
      <c r="AH299" s="397"/>
      <c r="AI299" s="397"/>
      <c r="AJ299" s="397"/>
      <c r="AK299" s="397"/>
      <c r="AL299" s="397"/>
      <c r="AM299" s="397"/>
      <c r="AN299" s="397"/>
      <c r="AO299" s="397"/>
      <c r="AP299" s="397"/>
      <c r="AQ299" s="397"/>
      <c r="AR299" s="397"/>
      <c r="AS299" s="397"/>
      <c r="AT299" s="397"/>
      <c r="AU299" s="397"/>
      <c r="AV299" s="397"/>
      <c r="AW299" s="397"/>
      <c r="AX299" s="397"/>
      <c r="AY299" s="397"/>
      <c r="AZ299" s="397"/>
      <c r="BA299" s="397"/>
      <c r="BB299" s="397"/>
      <c r="BC299" s="397"/>
    </row>
    <row r="300" spans="1:55" s="40" customFormat="1" x14ac:dyDescent="0.4">
      <c r="A300" s="50"/>
      <c r="B300" s="1038"/>
      <c r="C300" s="1038"/>
      <c r="D300" s="245" t="s">
        <v>48</v>
      </c>
      <c r="F300" s="397"/>
      <c r="G300" s="397"/>
      <c r="H300" s="240"/>
      <c r="I300" s="397"/>
      <c r="J300" s="397"/>
      <c r="K300" s="397"/>
      <c r="L300" s="397"/>
      <c r="M300" s="397"/>
      <c r="N300" s="397"/>
      <c r="O300" s="397"/>
      <c r="P300" s="397"/>
      <c r="Q300" s="397"/>
      <c r="R300" s="397"/>
      <c r="S300" s="397"/>
      <c r="T300" s="397"/>
      <c r="U300" s="397"/>
      <c r="V300" s="397"/>
      <c r="W300" s="397"/>
      <c r="X300" s="397"/>
      <c r="Y300" s="397"/>
      <c r="Z300" s="397"/>
      <c r="AA300" s="397"/>
      <c r="AB300" s="397"/>
      <c r="AC300" s="397"/>
      <c r="AD300" s="762"/>
      <c r="AH300" s="397"/>
      <c r="AI300" s="397"/>
      <c r="AJ300" s="397"/>
      <c r="AK300" s="397"/>
      <c r="AL300" s="397"/>
      <c r="AM300" s="397"/>
      <c r="AN300" s="397"/>
      <c r="AO300" s="397"/>
      <c r="AP300" s="397"/>
      <c r="AQ300" s="397"/>
      <c r="AR300" s="397"/>
      <c r="AS300" s="397"/>
      <c r="AT300" s="397"/>
      <c r="AU300" s="397"/>
      <c r="AV300" s="397"/>
      <c r="AW300" s="397"/>
      <c r="AX300" s="397"/>
      <c r="AY300" s="397"/>
      <c r="AZ300" s="397"/>
      <c r="BA300" s="397"/>
      <c r="BB300" s="397"/>
      <c r="BC300" s="397"/>
    </row>
    <row r="301" spans="1:55" s="40" customFormat="1" x14ac:dyDescent="0.4">
      <c r="A301" s="50"/>
      <c r="B301" s="1038"/>
      <c r="C301" s="1038"/>
      <c r="D301" s="245" t="s">
        <v>48</v>
      </c>
      <c r="F301" s="397"/>
      <c r="G301" s="397"/>
      <c r="H301" s="240"/>
      <c r="I301" s="397"/>
      <c r="J301" s="397"/>
      <c r="K301" s="397"/>
      <c r="L301" s="397"/>
      <c r="M301" s="397"/>
      <c r="N301" s="397"/>
      <c r="O301" s="397"/>
      <c r="P301" s="397"/>
      <c r="Q301" s="397"/>
      <c r="R301" s="397"/>
      <c r="S301" s="397"/>
      <c r="T301" s="397"/>
      <c r="U301" s="397"/>
      <c r="V301" s="397"/>
      <c r="W301" s="397"/>
      <c r="X301" s="397"/>
      <c r="Y301" s="397"/>
      <c r="Z301" s="397"/>
      <c r="AA301" s="397"/>
      <c r="AB301" s="397"/>
      <c r="AC301" s="397"/>
      <c r="AD301" s="762"/>
      <c r="AH301" s="397"/>
      <c r="AI301" s="397"/>
      <c r="AJ301" s="397"/>
      <c r="AK301" s="397"/>
      <c r="AL301" s="397"/>
      <c r="AM301" s="397"/>
      <c r="AN301" s="397"/>
      <c r="AO301" s="397"/>
      <c r="AP301" s="397"/>
      <c r="AQ301" s="397"/>
      <c r="AR301" s="397"/>
      <c r="AS301" s="397"/>
      <c r="AT301" s="397"/>
      <c r="AU301" s="397"/>
      <c r="AV301" s="397"/>
      <c r="AW301" s="397"/>
      <c r="AX301" s="397"/>
      <c r="AY301" s="397"/>
      <c r="AZ301" s="397"/>
      <c r="BA301" s="397"/>
      <c r="BB301" s="397"/>
      <c r="BC301" s="397"/>
    </row>
    <row r="302" spans="1:55" s="40" customFormat="1" x14ac:dyDescent="0.4">
      <c r="A302" s="50"/>
      <c r="B302" s="1038"/>
      <c r="C302" s="1038"/>
      <c r="D302" s="245" t="s">
        <v>48</v>
      </c>
      <c r="F302" s="397"/>
      <c r="G302" s="397"/>
      <c r="H302" s="240"/>
      <c r="I302" s="397"/>
      <c r="J302" s="397"/>
      <c r="K302" s="397"/>
      <c r="L302" s="397"/>
      <c r="M302" s="397"/>
      <c r="N302" s="397"/>
      <c r="O302" s="397"/>
      <c r="P302" s="397"/>
      <c r="Q302" s="397"/>
      <c r="R302" s="397"/>
      <c r="S302" s="397"/>
      <c r="T302" s="397"/>
      <c r="U302" s="397"/>
      <c r="V302" s="397"/>
      <c r="W302" s="397"/>
      <c r="X302" s="397"/>
      <c r="Y302" s="397"/>
      <c r="Z302" s="397"/>
      <c r="AA302" s="397"/>
      <c r="AB302" s="397"/>
      <c r="AC302" s="397"/>
      <c r="AD302" s="762"/>
      <c r="AH302" s="397"/>
      <c r="AI302" s="397"/>
      <c r="AJ302" s="397"/>
      <c r="AK302" s="397"/>
      <c r="AL302" s="397"/>
      <c r="AM302" s="397"/>
      <c r="AN302" s="397"/>
      <c r="AO302" s="397"/>
      <c r="AP302" s="397"/>
      <c r="AQ302" s="397"/>
      <c r="AR302" s="397"/>
      <c r="AS302" s="397"/>
      <c r="AT302" s="397"/>
      <c r="AU302" s="397"/>
      <c r="AV302" s="397"/>
      <c r="AW302" s="397"/>
      <c r="AX302" s="397"/>
      <c r="AY302" s="397"/>
      <c r="AZ302" s="397"/>
      <c r="BA302" s="397"/>
      <c r="BB302" s="397"/>
      <c r="BC302" s="397"/>
    </row>
    <row r="303" spans="1:55" s="40" customFormat="1" x14ac:dyDescent="0.4">
      <c r="A303" s="50"/>
      <c r="B303" s="1038"/>
      <c r="C303" s="1038"/>
      <c r="D303" s="245" t="s">
        <v>48</v>
      </c>
      <c r="F303" s="397"/>
      <c r="G303" s="397"/>
      <c r="H303" s="240"/>
      <c r="I303" s="397"/>
      <c r="J303" s="397"/>
      <c r="K303" s="397"/>
      <c r="L303" s="397"/>
      <c r="M303" s="397"/>
      <c r="N303" s="397"/>
      <c r="O303" s="397"/>
      <c r="P303" s="397"/>
      <c r="Q303" s="397"/>
      <c r="R303" s="397"/>
      <c r="S303" s="397"/>
      <c r="T303" s="397"/>
      <c r="U303" s="397"/>
      <c r="V303" s="397"/>
      <c r="W303" s="397"/>
      <c r="X303" s="397"/>
      <c r="Y303" s="397"/>
      <c r="Z303" s="397"/>
      <c r="AA303" s="397"/>
      <c r="AB303" s="397"/>
      <c r="AC303" s="397"/>
      <c r="AD303" s="762"/>
      <c r="AH303" s="397"/>
      <c r="AI303" s="397"/>
      <c r="AJ303" s="397"/>
      <c r="AK303" s="397"/>
      <c r="AL303" s="397"/>
      <c r="AM303" s="397"/>
      <c r="AN303" s="397"/>
      <c r="AO303" s="397"/>
      <c r="AP303" s="397"/>
      <c r="AQ303" s="397"/>
      <c r="AR303" s="397"/>
      <c r="AS303" s="397"/>
      <c r="AT303" s="397"/>
      <c r="AU303" s="397"/>
      <c r="AV303" s="397"/>
      <c r="AW303" s="397"/>
      <c r="AX303" s="397"/>
      <c r="AY303" s="397"/>
      <c r="AZ303" s="397"/>
      <c r="BA303" s="397"/>
      <c r="BB303" s="397"/>
      <c r="BC303" s="397"/>
    </row>
    <row r="304" spans="1:55" s="40" customFormat="1" x14ac:dyDescent="0.4">
      <c r="A304" s="50"/>
      <c r="B304" s="1038"/>
      <c r="C304" s="1038"/>
      <c r="D304" s="245" t="s">
        <v>48</v>
      </c>
      <c r="F304" s="397"/>
      <c r="G304" s="397"/>
      <c r="H304" s="240"/>
      <c r="I304" s="397"/>
      <c r="J304" s="397"/>
      <c r="K304" s="397"/>
      <c r="L304" s="397"/>
      <c r="M304" s="397"/>
      <c r="N304" s="397"/>
      <c r="O304" s="397"/>
      <c r="P304" s="397"/>
      <c r="Q304" s="397"/>
      <c r="R304" s="397"/>
      <c r="S304" s="397"/>
      <c r="T304" s="397"/>
      <c r="U304" s="397"/>
      <c r="V304" s="397"/>
      <c r="W304" s="397"/>
      <c r="X304" s="397"/>
      <c r="Y304" s="397"/>
      <c r="Z304" s="397"/>
      <c r="AA304" s="397"/>
      <c r="AB304" s="397"/>
      <c r="AC304" s="397"/>
      <c r="AD304" s="762"/>
      <c r="AH304" s="397"/>
      <c r="AI304" s="397"/>
      <c r="AJ304" s="397"/>
      <c r="AK304" s="397"/>
      <c r="AL304" s="397"/>
      <c r="AM304" s="397"/>
      <c r="AN304" s="397"/>
      <c r="AO304" s="397"/>
      <c r="AP304" s="397"/>
      <c r="AQ304" s="397"/>
      <c r="AR304" s="397"/>
      <c r="AS304" s="397"/>
      <c r="AT304" s="397"/>
      <c r="AU304" s="397"/>
      <c r="AV304" s="397"/>
      <c r="AW304" s="397"/>
      <c r="AX304" s="397"/>
      <c r="AY304" s="397"/>
      <c r="AZ304" s="397"/>
      <c r="BA304" s="397"/>
      <c r="BB304" s="397"/>
      <c r="BC304" s="397"/>
    </row>
    <row r="305" spans="1:55" s="40" customFormat="1" x14ac:dyDescent="0.4">
      <c r="A305" s="50"/>
      <c r="B305" s="1038"/>
      <c r="C305" s="1038"/>
      <c r="D305" s="245" t="s">
        <v>48</v>
      </c>
      <c r="F305" s="397"/>
      <c r="G305" s="397"/>
      <c r="H305" s="240"/>
      <c r="I305" s="397"/>
      <c r="J305" s="397"/>
      <c r="K305" s="397"/>
      <c r="L305" s="397"/>
      <c r="M305" s="397"/>
      <c r="N305" s="397"/>
      <c r="O305" s="397"/>
      <c r="P305" s="397"/>
      <c r="Q305" s="397"/>
      <c r="R305" s="397"/>
      <c r="S305" s="397"/>
      <c r="T305" s="397"/>
      <c r="U305" s="397"/>
      <c r="V305" s="397"/>
      <c r="W305" s="397"/>
      <c r="X305" s="397"/>
      <c r="Y305" s="397"/>
      <c r="Z305" s="397"/>
      <c r="AA305" s="397"/>
      <c r="AB305" s="397"/>
      <c r="AC305" s="397"/>
      <c r="AD305" s="762"/>
      <c r="AH305" s="397"/>
      <c r="AI305" s="397"/>
      <c r="AJ305" s="397"/>
      <c r="AK305" s="397"/>
      <c r="AL305" s="397"/>
      <c r="AM305" s="397"/>
      <c r="AN305" s="397"/>
      <c r="AO305" s="397"/>
      <c r="AP305" s="397"/>
      <c r="AQ305" s="397"/>
      <c r="AR305" s="397"/>
      <c r="AS305" s="397"/>
      <c r="AT305" s="397"/>
      <c r="AU305" s="397"/>
      <c r="AV305" s="397"/>
      <c r="AW305" s="397"/>
      <c r="AX305" s="397"/>
      <c r="AY305" s="397"/>
      <c r="AZ305" s="397"/>
      <c r="BA305" s="397"/>
      <c r="BB305" s="397"/>
      <c r="BC305" s="397"/>
    </row>
    <row r="306" spans="1:55" s="40" customFormat="1" x14ac:dyDescent="0.4">
      <c r="A306" s="50"/>
      <c r="B306" s="1038"/>
      <c r="C306" s="1038"/>
      <c r="D306" s="245" t="s">
        <v>48</v>
      </c>
      <c r="F306" s="397"/>
      <c r="G306" s="397"/>
      <c r="H306" s="240"/>
      <c r="I306" s="397"/>
      <c r="J306" s="397"/>
      <c r="K306" s="397"/>
      <c r="L306" s="397"/>
      <c r="M306" s="397"/>
      <c r="N306" s="397"/>
      <c r="O306" s="397"/>
      <c r="P306" s="397"/>
      <c r="Q306" s="397"/>
      <c r="R306" s="397"/>
      <c r="S306" s="397"/>
      <c r="T306" s="397"/>
      <c r="U306" s="397"/>
      <c r="V306" s="397"/>
      <c r="W306" s="397"/>
      <c r="X306" s="397"/>
      <c r="Y306" s="397"/>
      <c r="Z306" s="397"/>
      <c r="AA306" s="397"/>
      <c r="AB306" s="397"/>
      <c r="AC306" s="397"/>
      <c r="AD306" s="762"/>
      <c r="AH306" s="397"/>
      <c r="AI306" s="397"/>
      <c r="AJ306" s="397"/>
      <c r="AK306" s="397"/>
      <c r="AL306" s="397"/>
      <c r="AM306" s="397"/>
      <c r="AN306" s="397"/>
      <c r="AO306" s="397"/>
      <c r="AP306" s="397"/>
      <c r="AQ306" s="397"/>
      <c r="AR306" s="397"/>
      <c r="AS306" s="397"/>
      <c r="AT306" s="397"/>
      <c r="AU306" s="397"/>
      <c r="AV306" s="397"/>
      <c r="AW306" s="397"/>
      <c r="AX306" s="397"/>
      <c r="AY306" s="397"/>
      <c r="AZ306" s="397"/>
      <c r="BA306" s="397"/>
      <c r="BB306" s="397"/>
      <c r="BC306" s="397"/>
    </row>
    <row r="307" spans="1:55" s="40" customFormat="1" x14ac:dyDescent="0.4">
      <c r="A307" s="50"/>
      <c r="B307" s="1038"/>
      <c r="C307" s="1038"/>
      <c r="D307" s="245" t="s">
        <v>48</v>
      </c>
      <c r="F307" s="397"/>
      <c r="G307" s="397"/>
      <c r="H307" s="240"/>
      <c r="I307" s="397"/>
      <c r="J307" s="397"/>
      <c r="K307" s="397"/>
      <c r="L307" s="397"/>
      <c r="M307" s="397"/>
      <c r="N307" s="397"/>
      <c r="O307" s="397"/>
      <c r="P307" s="397"/>
      <c r="Q307" s="397"/>
      <c r="R307" s="397"/>
      <c r="S307" s="397"/>
      <c r="T307" s="397"/>
      <c r="U307" s="397"/>
      <c r="V307" s="397"/>
      <c r="W307" s="397"/>
      <c r="X307" s="397"/>
      <c r="Y307" s="397"/>
      <c r="Z307" s="397"/>
      <c r="AA307" s="397"/>
      <c r="AB307" s="397"/>
      <c r="AC307" s="397"/>
      <c r="AD307" s="762"/>
      <c r="AH307" s="397"/>
      <c r="AI307" s="397"/>
      <c r="AJ307" s="397"/>
      <c r="AK307" s="397"/>
      <c r="AL307" s="397"/>
      <c r="AM307" s="397"/>
      <c r="AN307" s="397"/>
      <c r="AO307" s="397"/>
      <c r="AP307" s="397"/>
      <c r="AQ307" s="397"/>
      <c r="AR307" s="397"/>
      <c r="AS307" s="397"/>
      <c r="AT307" s="397"/>
      <c r="AU307" s="397"/>
      <c r="AV307" s="397"/>
      <c r="AW307" s="397"/>
      <c r="AX307" s="397"/>
      <c r="AY307" s="397"/>
      <c r="AZ307" s="397"/>
      <c r="BA307" s="397"/>
      <c r="BB307" s="397"/>
      <c r="BC307" s="397"/>
    </row>
    <row r="308" spans="1:55" s="40" customFormat="1" x14ac:dyDescent="0.4">
      <c r="A308" s="50"/>
      <c r="B308" s="1038"/>
      <c r="C308" s="1038"/>
      <c r="D308" s="245" t="s">
        <v>48</v>
      </c>
      <c r="F308" s="397"/>
      <c r="G308" s="397"/>
      <c r="H308" s="240"/>
      <c r="I308" s="397"/>
      <c r="J308" s="397"/>
      <c r="K308" s="397"/>
      <c r="L308" s="397"/>
      <c r="M308" s="397"/>
      <c r="N308" s="397"/>
      <c r="O308" s="397"/>
      <c r="P308" s="397"/>
      <c r="Q308" s="397"/>
      <c r="R308" s="397"/>
      <c r="S308" s="397"/>
      <c r="T308" s="397"/>
      <c r="U308" s="397"/>
      <c r="V308" s="397"/>
      <c r="W308" s="397"/>
      <c r="X308" s="397"/>
      <c r="Y308" s="397"/>
      <c r="Z308" s="397"/>
      <c r="AA308" s="397"/>
      <c r="AB308" s="397"/>
      <c r="AC308" s="397"/>
      <c r="AD308" s="762"/>
      <c r="AH308" s="397"/>
      <c r="AI308" s="397"/>
      <c r="AJ308" s="397"/>
      <c r="AK308" s="397"/>
      <c r="AL308" s="397"/>
      <c r="AM308" s="397"/>
      <c r="AN308" s="397"/>
      <c r="AO308" s="397"/>
      <c r="AP308" s="397"/>
      <c r="AQ308" s="397"/>
      <c r="AR308" s="397"/>
      <c r="AS308" s="397"/>
      <c r="AT308" s="397"/>
      <c r="AU308" s="397"/>
      <c r="AV308" s="397"/>
      <c r="AW308" s="397"/>
      <c r="AX308" s="397"/>
      <c r="AY308" s="397"/>
      <c r="AZ308" s="397"/>
      <c r="BA308" s="397"/>
      <c r="BB308" s="397"/>
      <c r="BC308" s="397"/>
    </row>
    <row r="309" spans="1:55" s="40" customFormat="1" x14ac:dyDescent="0.4">
      <c r="A309" s="50"/>
      <c r="B309" s="1038"/>
      <c r="C309" s="1038"/>
      <c r="D309" s="245"/>
      <c r="F309" s="397"/>
      <c r="G309" s="397"/>
      <c r="H309" s="240"/>
      <c r="I309" s="397"/>
      <c r="J309" s="397"/>
      <c r="K309" s="397"/>
      <c r="L309" s="397"/>
      <c r="M309" s="397"/>
      <c r="N309" s="397"/>
      <c r="O309" s="397"/>
      <c r="P309" s="397"/>
      <c r="Q309" s="397"/>
      <c r="R309" s="397"/>
      <c r="S309" s="397"/>
      <c r="T309" s="397"/>
      <c r="U309" s="397"/>
      <c r="V309" s="397"/>
      <c r="W309" s="397"/>
      <c r="X309" s="397"/>
      <c r="Y309" s="397"/>
      <c r="Z309" s="397"/>
      <c r="AA309" s="397"/>
      <c r="AB309" s="397"/>
      <c r="AC309" s="397"/>
      <c r="AD309" s="762"/>
      <c r="AH309" s="397"/>
      <c r="AI309" s="397"/>
      <c r="AJ309" s="397"/>
      <c r="AK309" s="397"/>
      <c r="AL309" s="397"/>
      <c r="AM309" s="397"/>
      <c r="AN309" s="397"/>
      <c r="AO309" s="397"/>
      <c r="AP309" s="397"/>
      <c r="AQ309" s="397"/>
      <c r="AR309" s="397"/>
      <c r="AS309" s="397"/>
      <c r="AT309" s="397"/>
      <c r="AU309" s="397"/>
      <c r="AV309" s="397"/>
      <c r="AW309" s="397"/>
      <c r="AX309" s="397"/>
      <c r="AY309" s="397"/>
      <c r="AZ309" s="397"/>
      <c r="BA309" s="397"/>
      <c r="BB309" s="397"/>
      <c r="BC309" s="397"/>
    </row>
    <row r="310" spans="1:55" s="814" customFormat="1" ht="27" customHeight="1" x14ac:dyDescent="0.4">
      <c r="A310" s="1042"/>
      <c r="B310" s="1042"/>
      <c r="C310" s="1042"/>
      <c r="E310" s="814" t="str">
        <f>$E$211</f>
        <v>FRAMREIKNUÐ LOSUN</v>
      </c>
      <c r="F310" s="815"/>
      <c r="G310" s="815"/>
      <c r="H310" s="815"/>
      <c r="I310" s="815"/>
      <c r="J310" s="815"/>
      <c r="K310" s="815"/>
      <c r="L310" s="815"/>
      <c r="M310" s="815"/>
      <c r="N310" s="815"/>
      <c r="O310" s="815"/>
      <c r="P310" s="815"/>
      <c r="Q310" s="815"/>
      <c r="R310" s="815"/>
      <c r="S310" s="815"/>
      <c r="T310" s="815"/>
      <c r="U310" s="815"/>
      <c r="V310" s="815"/>
      <c r="W310" s="815"/>
      <c r="X310" s="815"/>
      <c r="Y310" s="815"/>
      <c r="Z310" s="815"/>
      <c r="AA310" s="815"/>
      <c r="AB310" s="815"/>
      <c r="AC310" s="815"/>
      <c r="AD310" s="816"/>
      <c r="AG310" s="814" t="str">
        <f>$AG$211</f>
        <v>EMISSION PROJECTIONS</v>
      </c>
      <c r="AH310" s="815"/>
      <c r="AI310" s="815"/>
      <c r="AJ310" s="815"/>
      <c r="AK310" s="815"/>
      <c r="AL310" s="815"/>
      <c r="AM310" s="815"/>
      <c r="AN310" s="815"/>
      <c r="AO310" s="815"/>
      <c r="AP310" s="815"/>
      <c r="AQ310" s="815"/>
      <c r="AR310" s="815"/>
      <c r="AS310" s="815"/>
      <c r="AT310" s="815"/>
      <c r="AU310" s="815"/>
      <c r="AV310" s="815"/>
      <c r="AW310" s="815"/>
      <c r="AX310" s="815"/>
      <c r="AY310" s="815"/>
      <c r="AZ310" s="815"/>
      <c r="BA310" s="815"/>
      <c r="BB310" s="815"/>
      <c r="BC310" s="815"/>
    </row>
    <row r="311" spans="1:55" s="40" customFormat="1" x14ac:dyDescent="0.4">
      <c r="A311" s="50"/>
      <c r="B311" s="1038"/>
      <c r="C311" s="1038"/>
      <c r="D311" s="245" t="s">
        <v>48</v>
      </c>
      <c r="F311" s="397"/>
      <c r="G311" s="397"/>
      <c r="H311" s="240"/>
      <c r="I311" s="397"/>
      <c r="J311" s="397"/>
      <c r="K311" s="397"/>
      <c r="L311" s="397"/>
      <c r="M311" s="397"/>
      <c r="N311" s="397"/>
      <c r="O311" s="397"/>
      <c r="P311" s="397"/>
      <c r="Q311" s="397"/>
      <c r="R311" s="397"/>
      <c r="S311" s="397"/>
      <c r="T311" s="397"/>
      <c r="U311" s="397"/>
      <c r="V311" s="397"/>
      <c r="W311" s="397"/>
      <c r="X311" s="397"/>
      <c r="Y311" s="397"/>
      <c r="Z311" s="397"/>
      <c r="AA311" s="397"/>
      <c r="AB311" s="397"/>
      <c r="AC311" s="397"/>
      <c r="AD311" s="762"/>
      <c r="AH311" s="397"/>
      <c r="AI311" s="397"/>
      <c r="AJ311" s="397"/>
      <c r="AK311" s="397"/>
      <c r="AL311" s="397"/>
      <c r="AM311" s="397"/>
      <c r="AN311" s="397"/>
      <c r="AO311" s="397"/>
      <c r="AP311" s="397"/>
      <c r="AQ311" s="397"/>
      <c r="AR311" s="397"/>
      <c r="AS311" s="397"/>
      <c r="AT311" s="397"/>
      <c r="AU311" s="397"/>
      <c r="AV311" s="397"/>
      <c r="AW311" s="397"/>
      <c r="AX311" s="397"/>
      <c r="AY311" s="397"/>
      <c r="AZ311" s="397"/>
      <c r="BA311" s="397"/>
      <c r="BB311" s="397"/>
      <c r="BC311" s="397"/>
    </row>
    <row r="312" spans="1:55" s="40" customFormat="1" x14ac:dyDescent="0.4">
      <c r="A312" s="50"/>
      <c r="B312" s="1038"/>
      <c r="C312" s="1038"/>
      <c r="D312" s="245" t="s">
        <v>48</v>
      </c>
      <c r="F312" s="397"/>
      <c r="G312" s="397"/>
      <c r="H312" s="240"/>
      <c r="I312" s="397"/>
      <c r="J312" s="397"/>
      <c r="K312" s="397"/>
      <c r="L312" s="397"/>
      <c r="M312" s="397"/>
      <c r="N312" s="397"/>
      <c r="O312" s="397"/>
      <c r="P312" s="397"/>
      <c r="Q312" s="397"/>
      <c r="R312" s="397"/>
      <c r="S312" s="397"/>
      <c r="T312" s="397"/>
      <c r="U312" s="397"/>
      <c r="V312" s="397"/>
      <c r="W312" s="397"/>
      <c r="X312" s="397"/>
      <c r="Y312" s="397"/>
      <c r="Z312" s="397"/>
      <c r="AA312" s="397"/>
      <c r="AB312" s="397"/>
      <c r="AC312" s="397"/>
      <c r="AD312" s="762"/>
      <c r="AH312" s="397"/>
      <c r="AI312" s="397"/>
      <c r="AJ312" s="397"/>
      <c r="AK312" s="397"/>
      <c r="AL312" s="397"/>
      <c r="AM312" s="397"/>
      <c r="AN312" s="397"/>
      <c r="AO312" s="397"/>
      <c r="AP312" s="397"/>
      <c r="AQ312" s="397"/>
      <c r="AR312" s="397"/>
      <c r="AS312" s="397"/>
      <c r="AT312" s="397"/>
      <c r="AU312" s="397"/>
      <c r="AV312" s="397"/>
      <c r="AW312" s="397"/>
      <c r="AX312" s="397"/>
      <c r="AY312" s="397"/>
      <c r="AZ312" s="397"/>
      <c r="BA312" s="397"/>
      <c r="BB312" s="397"/>
      <c r="BC312" s="397"/>
    </row>
    <row r="313" spans="1:55" s="40" customFormat="1" x14ac:dyDescent="0.4">
      <c r="A313" s="50"/>
      <c r="B313" s="1038"/>
      <c r="C313" s="1038"/>
      <c r="D313" s="245"/>
      <c r="F313" s="397"/>
      <c r="G313" s="397"/>
      <c r="H313" s="240"/>
      <c r="I313" s="397"/>
      <c r="J313" s="397"/>
      <c r="K313" s="397"/>
      <c r="L313" s="397"/>
      <c r="M313" s="397"/>
      <c r="N313" s="397"/>
      <c r="O313" s="397"/>
      <c r="P313" s="397"/>
      <c r="Q313" s="397"/>
      <c r="R313" s="397"/>
      <c r="S313" s="397"/>
      <c r="T313" s="397"/>
      <c r="U313" s="397"/>
      <c r="V313" s="397"/>
      <c r="W313" s="397"/>
      <c r="X313" s="397"/>
      <c r="Y313" s="397"/>
      <c r="Z313" s="397"/>
      <c r="AA313" s="397"/>
      <c r="AB313" s="397"/>
      <c r="AC313" s="397"/>
      <c r="AD313" s="762"/>
      <c r="AH313" s="397"/>
      <c r="AI313" s="397"/>
      <c r="AJ313" s="397"/>
      <c r="AK313" s="397"/>
      <c r="AL313" s="397"/>
      <c r="AM313" s="397"/>
      <c r="AN313" s="397"/>
      <c r="AO313" s="397"/>
      <c r="AP313" s="397"/>
      <c r="AQ313" s="397"/>
      <c r="AR313" s="397"/>
      <c r="AS313" s="397"/>
      <c r="AT313" s="397"/>
      <c r="AU313" s="397"/>
      <c r="AV313" s="397"/>
      <c r="AW313" s="397"/>
      <c r="AX313" s="397"/>
      <c r="AY313" s="397"/>
      <c r="AZ313" s="397"/>
      <c r="BA313" s="397"/>
      <c r="BB313" s="397"/>
      <c r="BC313" s="397"/>
    </row>
    <row r="314" spans="1:55" s="40" customFormat="1" x14ac:dyDescent="0.4">
      <c r="A314" s="50"/>
      <c r="B314" s="1038"/>
      <c r="C314" s="1038"/>
      <c r="D314" s="245"/>
      <c r="F314" s="397"/>
      <c r="G314" s="397"/>
      <c r="H314" s="240"/>
      <c r="I314" s="397"/>
      <c r="J314" s="397"/>
      <c r="K314" s="397"/>
      <c r="L314" s="397"/>
      <c r="M314" s="397"/>
      <c r="N314" s="397"/>
      <c r="O314" s="397"/>
      <c r="P314" s="397"/>
      <c r="Q314" s="397"/>
      <c r="R314" s="397"/>
      <c r="S314" s="397"/>
      <c r="T314" s="397"/>
      <c r="U314" s="397"/>
      <c r="V314" s="397"/>
      <c r="W314" s="397"/>
      <c r="X314" s="397"/>
      <c r="Y314" s="397"/>
      <c r="Z314" s="397"/>
      <c r="AA314" s="397"/>
      <c r="AB314" s="397"/>
      <c r="AC314" s="397"/>
      <c r="AD314" s="762"/>
      <c r="AH314" s="397"/>
      <c r="AI314" s="397"/>
      <c r="AJ314" s="397"/>
      <c r="AK314" s="397"/>
      <c r="AL314" s="397"/>
      <c r="AM314" s="397"/>
      <c r="AN314" s="397"/>
      <c r="AO314" s="397"/>
      <c r="AP314" s="397"/>
      <c r="AQ314" s="397"/>
      <c r="AR314" s="397"/>
      <c r="AS314" s="397"/>
      <c r="AT314" s="397"/>
      <c r="AU314" s="397"/>
      <c r="AV314" s="397"/>
      <c r="AW314" s="397"/>
      <c r="AX314" s="397"/>
      <c r="AY314" s="397"/>
      <c r="AZ314" s="397"/>
      <c r="BA314" s="397"/>
      <c r="BB314" s="397"/>
      <c r="BC314" s="397"/>
    </row>
    <row r="315" spans="1:55" s="40" customFormat="1" x14ac:dyDescent="0.4">
      <c r="A315" s="50"/>
      <c r="B315" s="1038"/>
      <c r="C315" s="1038"/>
      <c r="D315" s="245"/>
      <c r="F315" s="397"/>
      <c r="G315" s="397"/>
      <c r="H315" s="240"/>
      <c r="I315" s="397"/>
      <c r="J315" s="397"/>
      <c r="K315" s="397"/>
      <c r="L315" s="397"/>
      <c r="M315" s="397"/>
      <c r="N315" s="397"/>
      <c r="O315" s="397"/>
      <c r="P315" s="397"/>
      <c r="Q315" s="397"/>
      <c r="R315" s="397"/>
      <c r="S315" s="397"/>
      <c r="T315" s="397"/>
      <c r="U315" s="397"/>
      <c r="V315" s="397"/>
      <c r="W315" s="397"/>
      <c r="X315" s="397"/>
      <c r="Y315" s="397"/>
      <c r="Z315" s="397"/>
      <c r="AA315" s="397"/>
      <c r="AB315" s="397"/>
      <c r="AC315" s="397"/>
      <c r="AD315" s="762"/>
      <c r="AH315" s="397"/>
      <c r="AI315" s="397"/>
      <c r="AJ315" s="397"/>
      <c r="AK315" s="397"/>
      <c r="AL315" s="397"/>
      <c r="AM315" s="397"/>
      <c r="AN315" s="397"/>
      <c r="AO315" s="397"/>
      <c r="AP315" s="397"/>
      <c r="AQ315" s="397"/>
      <c r="AR315" s="397"/>
      <c r="AS315" s="397"/>
      <c r="AT315" s="397"/>
      <c r="AU315" s="397"/>
      <c r="AV315" s="397"/>
      <c r="AW315" s="397"/>
      <c r="AX315" s="397"/>
      <c r="AY315" s="397"/>
      <c r="AZ315" s="397"/>
      <c r="BA315" s="397"/>
      <c r="BB315" s="397"/>
      <c r="BC315" s="397"/>
    </row>
    <row r="316" spans="1:55" s="40" customFormat="1" x14ac:dyDescent="0.4">
      <c r="A316" s="50"/>
      <c r="B316" s="1038"/>
      <c r="C316" s="1038"/>
      <c r="D316" s="245"/>
      <c r="F316" s="397"/>
      <c r="G316" s="397"/>
      <c r="H316" s="240"/>
      <c r="I316" s="397"/>
      <c r="J316" s="397"/>
      <c r="K316" s="397"/>
      <c r="L316" s="397"/>
      <c r="M316" s="397"/>
      <c r="N316" s="397"/>
      <c r="O316" s="397"/>
      <c r="P316" s="397"/>
      <c r="Q316" s="397"/>
      <c r="R316" s="397"/>
      <c r="S316" s="397"/>
      <c r="T316" s="397"/>
      <c r="U316" s="397"/>
      <c r="V316" s="397"/>
      <c r="W316" s="397"/>
      <c r="X316" s="397"/>
      <c r="Y316" s="397"/>
      <c r="Z316" s="397"/>
      <c r="AA316" s="397"/>
      <c r="AB316" s="397"/>
      <c r="AC316" s="397"/>
      <c r="AD316" s="762"/>
      <c r="AH316" s="397"/>
      <c r="AI316" s="397"/>
      <c r="AJ316" s="397"/>
      <c r="AK316" s="397"/>
      <c r="AL316" s="397"/>
      <c r="AM316" s="397"/>
      <c r="AN316" s="397"/>
      <c r="AO316" s="397"/>
      <c r="AP316" s="397"/>
      <c r="AQ316" s="397"/>
      <c r="AR316" s="397"/>
      <c r="AS316" s="397"/>
      <c r="AT316" s="397"/>
      <c r="AU316" s="397"/>
      <c r="AV316" s="397"/>
      <c r="AW316" s="397"/>
      <c r="AX316" s="397"/>
      <c r="AY316" s="397"/>
      <c r="AZ316" s="397"/>
      <c r="BA316" s="397"/>
      <c r="BB316" s="397"/>
      <c r="BC316" s="397"/>
    </row>
    <row r="317" spans="1:55" s="40" customFormat="1" x14ac:dyDescent="0.4">
      <c r="A317" s="50"/>
      <c r="B317" s="1038"/>
      <c r="C317" s="1038"/>
      <c r="D317" s="245"/>
      <c r="F317" s="397"/>
      <c r="G317" s="397"/>
      <c r="H317" s="240"/>
      <c r="I317" s="397"/>
      <c r="J317" s="397"/>
      <c r="K317" s="397"/>
      <c r="L317" s="397"/>
      <c r="M317" s="397"/>
      <c r="N317" s="397"/>
      <c r="O317" s="397"/>
      <c r="P317" s="397"/>
      <c r="Q317" s="397"/>
      <c r="R317" s="397"/>
      <c r="S317" s="397"/>
      <c r="T317" s="397"/>
      <c r="U317" s="397"/>
      <c r="V317" s="397"/>
      <c r="W317" s="397"/>
      <c r="X317" s="397"/>
      <c r="Y317" s="397"/>
      <c r="Z317" s="397"/>
      <c r="AA317" s="397"/>
      <c r="AB317" s="397"/>
      <c r="AC317" s="397"/>
      <c r="AD317" s="762"/>
      <c r="AH317" s="397"/>
      <c r="AI317" s="397"/>
      <c r="AJ317" s="397"/>
      <c r="AK317" s="397"/>
      <c r="AL317" s="397"/>
      <c r="AM317" s="397"/>
      <c r="AN317" s="397"/>
      <c r="AO317" s="397"/>
      <c r="AP317" s="397"/>
      <c r="AQ317" s="397"/>
      <c r="AR317" s="397"/>
      <c r="AS317" s="397"/>
      <c r="AT317" s="397"/>
      <c r="AU317" s="397"/>
      <c r="AV317" s="397"/>
      <c r="AW317" s="397"/>
      <c r="AX317" s="397"/>
      <c r="AY317" s="397"/>
      <c r="AZ317" s="397"/>
      <c r="BA317" s="397"/>
      <c r="BB317" s="397"/>
      <c r="BC317" s="397"/>
    </row>
    <row r="318" spans="1:55" s="40" customFormat="1" x14ac:dyDescent="0.4">
      <c r="A318" s="50"/>
      <c r="B318" s="1038"/>
      <c r="C318" s="1038"/>
      <c r="D318" s="245"/>
      <c r="F318" s="397"/>
      <c r="G318" s="397"/>
      <c r="H318" s="240"/>
      <c r="I318" s="397"/>
      <c r="J318" s="397"/>
      <c r="K318" s="397"/>
      <c r="L318" s="397"/>
      <c r="M318" s="397"/>
      <c r="N318" s="397"/>
      <c r="O318" s="397"/>
      <c r="P318" s="397"/>
      <c r="Q318" s="397"/>
      <c r="R318" s="397"/>
      <c r="S318" s="397"/>
      <c r="T318" s="397"/>
      <c r="U318" s="397"/>
      <c r="V318" s="397"/>
      <c r="W318" s="397"/>
      <c r="X318" s="397"/>
      <c r="Y318" s="397"/>
      <c r="Z318" s="397"/>
      <c r="AA318" s="397"/>
      <c r="AB318" s="397"/>
      <c r="AC318" s="397"/>
      <c r="AD318" s="762"/>
      <c r="AH318" s="397"/>
      <c r="AI318" s="397"/>
      <c r="AJ318" s="397"/>
      <c r="AK318" s="397"/>
      <c r="AL318" s="397"/>
      <c r="AM318" s="397"/>
      <c r="AN318" s="397"/>
      <c r="AO318" s="397"/>
      <c r="AP318" s="397"/>
      <c r="AQ318" s="397"/>
      <c r="AR318" s="397"/>
      <c r="AS318" s="397"/>
      <c r="AT318" s="397"/>
      <c r="AU318" s="397"/>
      <c r="AV318" s="397"/>
      <c r="AW318" s="397"/>
      <c r="AX318" s="397"/>
      <c r="AY318" s="397"/>
      <c r="AZ318" s="397"/>
      <c r="BA318" s="397"/>
      <c r="BB318" s="397"/>
      <c r="BC318" s="397"/>
    </row>
    <row r="319" spans="1:55" s="40" customFormat="1" x14ac:dyDescent="0.4">
      <c r="A319" s="50"/>
      <c r="B319" s="1038"/>
      <c r="C319" s="1038"/>
      <c r="D319" s="245"/>
      <c r="F319" s="397"/>
      <c r="G319" s="397"/>
      <c r="H319" s="240"/>
      <c r="I319" s="397"/>
      <c r="J319" s="397"/>
      <c r="K319" s="397"/>
      <c r="L319" s="397"/>
      <c r="M319" s="397"/>
      <c r="N319" s="397"/>
      <c r="O319" s="397"/>
      <c r="P319" s="397"/>
      <c r="Q319" s="397"/>
      <c r="R319" s="397"/>
      <c r="S319" s="397"/>
      <c r="T319" s="397"/>
      <c r="U319" s="397"/>
      <c r="V319" s="397"/>
      <c r="W319" s="397"/>
      <c r="X319" s="397"/>
      <c r="Y319" s="397"/>
      <c r="Z319" s="397"/>
      <c r="AA319" s="397"/>
      <c r="AB319" s="397"/>
      <c r="AC319" s="397"/>
      <c r="AD319" s="762"/>
      <c r="AH319" s="397"/>
      <c r="AI319" s="397"/>
      <c r="AJ319" s="397"/>
      <c r="AK319" s="397"/>
      <c r="AL319" s="397"/>
      <c r="AM319" s="397"/>
      <c r="AN319" s="397"/>
      <c r="AO319" s="397"/>
      <c r="AP319" s="397"/>
      <c r="AQ319" s="397"/>
      <c r="AR319" s="397"/>
      <c r="AS319" s="397"/>
      <c r="AT319" s="397"/>
      <c r="AU319" s="397"/>
      <c r="AV319" s="397"/>
      <c r="AW319" s="397"/>
      <c r="AX319" s="397"/>
      <c r="AY319" s="397"/>
      <c r="AZ319" s="397"/>
      <c r="BA319" s="397"/>
      <c r="BB319" s="397"/>
      <c r="BC319" s="397"/>
    </row>
    <row r="320" spans="1:55" s="40" customFormat="1" x14ac:dyDescent="0.4">
      <c r="A320" s="50"/>
      <c r="B320" s="1038"/>
      <c r="C320" s="1038"/>
      <c r="D320" s="245"/>
      <c r="F320" s="397"/>
      <c r="G320" s="397"/>
      <c r="H320" s="240"/>
      <c r="I320" s="397"/>
      <c r="J320" s="397"/>
      <c r="K320" s="397"/>
      <c r="L320" s="397"/>
      <c r="M320" s="397"/>
      <c r="N320" s="397"/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762"/>
      <c r="AH320" s="397"/>
      <c r="AI320" s="397"/>
      <c r="AJ320" s="397"/>
      <c r="AK320" s="397"/>
      <c r="AL320" s="397"/>
      <c r="AM320" s="397"/>
      <c r="AN320" s="397"/>
      <c r="AO320" s="397"/>
      <c r="AP320" s="397"/>
      <c r="AQ320" s="397"/>
      <c r="AR320" s="397"/>
      <c r="AS320" s="397"/>
      <c r="AT320" s="397"/>
      <c r="AU320" s="397"/>
      <c r="AV320" s="397"/>
      <c r="AW320" s="397"/>
      <c r="AX320" s="397"/>
      <c r="AY320" s="397"/>
      <c r="AZ320" s="397"/>
      <c r="BA320" s="397"/>
      <c r="BB320" s="397"/>
      <c r="BC320" s="397"/>
    </row>
    <row r="321" spans="1:55" s="40" customFormat="1" x14ac:dyDescent="0.4">
      <c r="A321" s="50"/>
      <c r="B321" s="1038"/>
      <c r="C321" s="1038"/>
      <c r="D321" s="245"/>
      <c r="F321" s="397"/>
      <c r="G321" s="397"/>
      <c r="H321" s="240"/>
      <c r="I321" s="397"/>
      <c r="J321" s="397"/>
      <c r="K321" s="397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  <c r="Z321" s="397"/>
      <c r="AA321" s="397"/>
      <c r="AB321" s="397"/>
      <c r="AC321" s="397"/>
      <c r="AD321" s="762"/>
      <c r="AH321" s="397"/>
      <c r="AI321" s="397"/>
      <c r="AJ321" s="397"/>
      <c r="AK321" s="397"/>
      <c r="AL321" s="397"/>
      <c r="AM321" s="397"/>
      <c r="AN321" s="397"/>
      <c r="AO321" s="397"/>
      <c r="AP321" s="397"/>
      <c r="AQ321" s="397"/>
      <c r="AR321" s="397"/>
      <c r="AS321" s="397"/>
      <c r="AT321" s="397"/>
      <c r="AU321" s="397"/>
      <c r="AV321" s="397"/>
      <c r="AW321" s="397"/>
      <c r="AX321" s="397"/>
      <c r="AY321" s="397"/>
      <c r="AZ321" s="397"/>
      <c r="BA321" s="397"/>
      <c r="BB321" s="397"/>
      <c r="BC321" s="397"/>
    </row>
    <row r="322" spans="1:55" s="40" customFormat="1" x14ac:dyDescent="0.4">
      <c r="A322" s="50"/>
      <c r="B322" s="1038"/>
      <c r="C322" s="1038"/>
      <c r="D322" s="245"/>
      <c r="F322" s="397"/>
      <c r="G322" s="397"/>
      <c r="H322" s="240"/>
      <c r="I322" s="397"/>
      <c r="J322" s="397"/>
      <c r="K322" s="397"/>
      <c r="L322" s="397"/>
      <c r="M322" s="397"/>
      <c r="N322" s="397"/>
      <c r="O322" s="397"/>
      <c r="P322" s="397"/>
      <c r="Q322" s="397"/>
      <c r="R322" s="397"/>
      <c r="S322" s="397"/>
      <c r="T322" s="397"/>
      <c r="U322" s="397"/>
      <c r="V322" s="397"/>
      <c r="W322" s="397"/>
      <c r="X322" s="397"/>
      <c r="Y322" s="397"/>
      <c r="Z322" s="397"/>
      <c r="AA322" s="397"/>
      <c r="AB322" s="397"/>
      <c r="AC322" s="397"/>
      <c r="AD322" s="762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/>
      <c r="AS322" s="397"/>
      <c r="AT322" s="397"/>
      <c r="AU322" s="397"/>
      <c r="AV322" s="397"/>
      <c r="AW322" s="397"/>
      <c r="AX322" s="397"/>
      <c r="AY322" s="397"/>
      <c r="AZ322" s="397"/>
      <c r="BA322" s="397"/>
      <c r="BB322" s="397"/>
      <c r="BC322" s="397"/>
    </row>
    <row r="323" spans="1:55" s="40" customFormat="1" x14ac:dyDescent="0.4">
      <c r="A323" s="50"/>
      <c r="B323" s="1038"/>
      <c r="C323" s="1038"/>
      <c r="D323" s="245"/>
      <c r="F323" s="397"/>
      <c r="G323" s="397"/>
      <c r="H323" s="240"/>
      <c r="I323" s="397"/>
      <c r="J323" s="397"/>
      <c r="K323" s="397"/>
      <c r="L323" s="397"/>
      <c r="M323" s="397"/>
      <c r="N323" s="39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Z323" s="397"/>
      <c r="AA323" s="397"/>
      <c r="AB323" s="397"/>
      <c r="AC323" s="397"/>
      <c r="AD323" s="762"/>
      <c r="AH323" s="397"/>
      <c r="AI323" s="397"/>
      <c r="AJ323" s="397"/>
      <c r="AK323" s="397"/>
      <c r="AL323" s="397"/>
      <c r="AM323" s="397"/>
      <c r="AN323" s="397"/>
      <c r="AO323" s="397"/>
      <c r="AP323" s="397"/>
      <c r="AQ323" s="397"/>
      <c r="AR323" s="397"/>
      <c r="AS323" s="397"/>
      <c r="AT323" s="397"/>
      <c r="AU323" s="397"/>
      <c r="AV323" s="397"/>
      <c r="AW323" s="397"/>
      <c r="AX323" s="397"/>
      <c r="AY323" s="397"/>
      <c r="AZ323" s="397"/>
      <c r="BA323" s="397"/>
      <c r="BB323" s="397"/>
      <c r="BC323" s="397"/>
    </row>
    <row r="324" spans="1:55" s="40" customFormat="1" x14ac:dyDescent="0.4">
      <c r="A324" s="50"/>
      <c r="B324" s="1038"/>
      <c r="C324" s="1038"/>
      <c r="D324" s="245"/>
      <c r="F324" s="397"/>
      <c r="G324" s="397"/>
      <c r="H324" s="240"/>
      <c r="I324" s="397"/>
      <c r="J324" s="397"/>
      <c r="K324" s="397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Z324" s="397"/>
      <c r="AA324" s="397"/>
      <c r="AB324" s="397"/>
      <c r="AC324" s="397"/>
      <c r="AD324" s="762"/>
      <c r="AH324" s="397"/>
      <c r="AI324" s="397"/>
      <c r="AJ324" s="397"/>
      <c r="AK324" s="397"/>
      <c r="AL324" s="397"/>
      <c r="AM324" s="397"/>
      <c r="AN324" s="397"/>
      <c r="AO324" s="397"/>
      <c r="AP324" s="397"/>
      <c r="AQ324" s="397"/>
      <c r="AR324" s="397"/>
      <c r="AS324" s="397"/>
      <c r="AT324" s="397"/>
      <c r="AU324" s="397"/>
      <c r="AV324" s="397"/>
      <c r="AW324" s="397"/>
      <c r="AX324" s="397"/>
      <c r="AY324" s="397"/>
      <c r="AZ324" s="397"/>
      <c r="BA324" s="397"/>
      <c r="BB324" s="397"/>
      <c r="BC324" s="397"/>
    </row>
    <row r="325" spans="1:55" s="40" customFormat="1" x14ac:dyDescent="0.4">
      <c r="A325" s="50"/>
      <c r="B325" s="1038"/>
      <c r="C325" s="1038"/>
      <c r="D325" s="245"/>
      <c r="F325" s="397"/>
      <c r="G325" s="397"/>
      <c r="H325" s="240"/>
      <c r="I325" s="397"/>
      <c r="J325" s="397"/>
      <c r="K325" s="397"/>
      <c r="L325" s="397"/>
      <c r="M325" s="397"/>
      <c r="N325" s="397"/>
      <c r="O325" s="397"/>
      <c r="P325" s="397"/>
      <c r="Q325" s="397"/>
      <c r="R325" s="397"/>
      <c r="S325" s="397"/>
      <c r="T325" s="397"/>
      <c r="U325" s="397"/>
      <c r="V325" s="397"/>
      <c r="W325" s="397"/>
      <c r="X325" s="397"/>
      <c r="Y325" s="397"/>
      <c r="Z325" s="397"/>
      <c r="AA325" s="397"/>
      <c r="AB325" s="397"/>
      <c r="AC325" s="397"/>
      <c r="AD325" s="762"/>
      <c r="AH325" s="397"/>
      <c r="AI325" s="397"/>
      <c r="AJ325" s="397"/>
      <c r="AK325" s="397"/>
      <c r="AL325" s="397"/>
      <c r="AM325" s="397"/>
      <c r="AN325" s="397"/>
      <c r="AO325" s="397"/>
      <c r="AP325" s="397"/>
      <c r="AQ325" s="397"/>
      <c r="AR325" s="397"/>
      <c r="AS325" s="397"/>
      <c r="AT325" s="397"/>
      <c r="AU325" s="397"/>
      <c r="AV325" s="397"/>
      <c r="AW325" s="397"/>
      <c r="AX325" s="397"/>
      <c r="AY325" s="397"/>
      <c r="AZ325" s="397"/>
      <c r="BA325" s="397"/>
      <c r="BB325" s="397"/>
      <c r="BC325" s="397"/>
    </row>
    <row r="326" spans="1:55" s="40" customFormat="1" x14ac:dyDescent="0.4">
      <c r="A326" s="50"/>
      <c r="B326" s="1038"/>
      <c r="C326" s="1038"/>
      <c r="D326" s="245"/>
      <c r="F326" s="397"/>
      <c r="G326" s="397"/>
      <c r="H326" s="240"/>
      <c r="I326" s="397"/>
      <c r="J326" s="397"/>
      <c r="K326" s="397"/>
      <c r="L326" s="397"/>
      <c r="M326" s="397"/>
      <c r="N326" s="397"/>
      <c r="O326" s="397"/>
      <c r="P326" s="397"/>
      <c r="Q326" s="397"/>
      <c r="R326" s="397"/>
      <c r="S326" s="397"/>
      <c r="T326" s="397"/>
      <c r="U326" s="397"/>
      <c r="V326" s="397"/>
      <c r="W326" s="397"/>
      <c r="X326" s="397"/>
      <c r="Y326" s="397"/>
      <c r="Z326" s="397"/>
      <c r="AA326" s="397"/>
      <c r="AB326" s="397"/>
      <c r="AC326" s="397"/>
      <c r="AD326" s="762"/>
      <c r="AH326" s="397"/>
      <c r="AI326" s="397"/>
      <c r="AJ326" s="397"/>
      <c r="AK326" s="397"/>
      <c r="AL326" s="397"/>
      <c r="AM326" s="397"/>
      <c r="AN326" s="397"/>
      <c r="AO326" s="397"/>
      <c r="AP326" s="397"/>
      <c r="AQ326" s="397"/>
      <c r="AR326" s="397"/>
      <c r="AS326" s="397"/>
      <c r="AT326" s="397"/>
      <c r="AU326" s="397"/>
      <c r="AV326" s="397"/>
      <c r="AW326" s="397"/>
      <c r="AX326" s="397"/>
      <c r="AY326" s="397"/>
      <c r="AZ326" s="397"/>
      <c r="BA326" s="397"/>
      <c r="BB326" s="397"/>
      <c r="BC326" s="397"/>
    </row>
    <row r="327" spans="1:55" s="40" customFormat="1" x14ac:dyDescent="0.4">
      <c r="A327" s="50"/>
      <c r="B327" s="1038"/>
      <c r="C327" s="1038"/>
      <c r="D327" s="245"/>
      <c r="F327" s="397"/>
      <c r="G327" s="397"/>
      <c r="H327" s="240"/>
      <c r="I327" s="397"/>
      <c r="J327" s="397"/>
      <c r="K327" s="397"/>
      <c r="L327" s="397"/>
      <c r="M327" s="397"/>
      <c r="N327" s="397"/>
      <c r="O327" s="397"/>
      <c r="P327" s="397"/>
      <c r="Q327" s="397"/>
      <c r="R327" s="397"/>
      <c r="S327" s="397"/>
      <c r="T327" s="397"/>
      <c r="U327" s="397"/>
      <c r="V327" s="397"/>
      <c r="W327" s="397"/>
      <c r="X327" s="397"/>
      <c r="Y327" s="397"/>
      <c r="Z327" s="397"/>
      <c r="AA327" s="397"/>
      <c r="AB327" s="397"/>
      <c r="AC327" s="397"/>
      <c r="AD327" s="762"/>
      <c r="AH327" s="397"/>
      <c r="AI327" s="397"/>
      <c r="AJ327" s="397"/>
      <c r="AK327" s="397"/>
      <c r="AL327" s="397"/>
      <c r="AM327" s="397"/>
      <c r="AN327" s="397"/>
      <c r="AO327" s="397"/>
      <c r="AP327" s="397"/>
      <c r="AQ327" s="397"/>
      <c r="AR327" s="397"/>
      <c r="AS327" s="397"/>
      <c r="AT327" s="397"/>
      <c r="AU327" s="397"/>
      <c r="AV327" s="397"/>
      <c r="AW327" s="397"/>
      <c r="AX327" s="397"/>
      <c r="AY327" s="397"/>
      <c r="AZ327" s="397"/>
      <c r="BA327" s="397"/>
      <c r="BB327" s="397"/>
      <c r="BC327" s="397"/>
    </row>
    <row r="328" spans="1:55" s="40" customFormat="1" x14ac:dyDescent="0.4">
      <c r="A328" s="50"/>
      <c r="B328" s="1038"/>
      <c r="C328" s="1038"/>
      <c r="D328" s="245"/>
      <c r="F328" s="397"/>
      <c r="G328" s="397"/>
      <c r="H328" s="240"/>
      <c r="I328" s="397"/>
      <c r="J328" s="397"/>
      <c r="K328" s="397"/>
      <c r="L328" s="397"/>
      <c r="M328" s="397"/>
      <c r="N328" s="397"/>
      <c r="O328" s="397"/>
      <c r="P328" s="397"/>
      <c r="Q328" s="397"/>
      <c r="R328" s="397"/>
      <c r="S328" s="397"/>
      <c r="T328" s="397"/>
      <c r="U328" s="397"/>
      <c r="V328" s="397"/>
      <c r="W328" s="397"/>
      <c r="X328" s="397"/>
      <c r="Y328" s="397"/>
      <c r="Z328" s="397"/>
      <c r="AA328" s="397"/>
      <c r="AB328" s="397"/>
      <c r="AC328" s="397"/>
      <c r="AD328" s="762"/>
      <c r="AH328" s="397"/>
      <c r="AI328" s="397"/>
      <c r="AJ328" s="397"/>
      <c r="AK328" s="397"/>
      <c r="AL328" s="397"/>
      <c r="AM328" s="397"/>
      <c r="AN328" s="397"/>
      <c r="AO328" s="397"/>
      <c r="AP328" s="397"/>
      <c r="AQ328" s="397"/>
      <c r="AR328" s="397"/>
      <c r="AS328" s="397"/>
      <c r="AT328" s="397"/>
      <c r="AU328" s="397"/>
      <c r="AV328" s="397"/>
      <c r="AW328" s="397"/>
      <c r="AX328" s="397"/>
      <c r="AY328" s="397"/>
      <c r="AZ328" s="397"/>
      <c r="BA328" s="397"/>
      <c r="BB328" s="397"/>
      <c r="BC328" s="397"/>
    </row>
    <row r="329" spans="1:55" s="40" customFormat="1" x14ac:dyDescent="0.4">
      <c r="A329" s="50"/>
      <c r="B329" s="1038"/>
      <c r="C329" s="1038"/>
      <c r="D329" s="245"/>
      <c r="F329" s="397"/>
      <c r="G329" s="397"/>
      <c r="H329" s="240"/>
      <c r="I329" s="397"/>
      <c r="J329" s="397"/>
      <c r="K329" s="397"/>
      <c r="L329" s="397"/>
      <c r="M329" s="397"/>
      <c r="N329" s="397"/>
      <c r="O329" s="397"/>
      <c r="P329" s="397"/>
      <c r="Q329" s="397"/>
      <c r="R329" s="397"/>
      <c r="S329" s="397"/>
      <c r="T329" s="397"/>
      <c r="U329" s="397"/>
      <c r="V329" s="397"/>
      <c r="W329" s="397"/>
      <c r="X329" s="397"/>
      <c r="Y329" s="397"/>
      <c r="Z329" s="397"/>
      <c r="AA329" s="397"/>
      <c r="AB329" s="397"/>
      <c r="AC329" s="397"/>
      <c r="AD329" s="762"/>
      <c r="AH329" s="397"/>
      <c r="AI329" s="397"/>
      <c r="AJ329" s="397"/>
      <c r="AK329" s="397"/>
      <c r="AL329" s="397"/>
      <c r="AM329" s="397"/>
      <c r="AN329" s="397"/>
      <c r="AO329" s="397"/>
      <c r="AP329" s="397"/>
      <c r="AQ329" s="397"/>
      <c r="AR329" s="397"/>
      <c r="AS329" s="397"/>
      <c r="AT329" s="397"/>
      <c r="AU329" s="397"/>
      <c r="AV329" s="397"/>
      <c r="AW329" s="397"/>
      <c r="AX329" s="397"/>
      <c r="AY329" s="397"/>
      <c r="AZ329" s="397"/>
      <c r="BA329" s="397"/>
      <c r="BB329" s="397"/>
      <c r="BC329" s="397"/>
    </row>
    <row r="330" spans="1:55" s="40" customFormat="1" x14ac:dyDescent="0.4">
      <c r="A330" s="50"/>
      <c r="B330" s="1038"/>
      <c r="C330" s="1038"/>
      <c r="D330" s="245"/>
      <c r="F330" s="397"/>
      <c r="G330" s="397"/>
      <c r="H330" s="240"/>
      <c r="I330" s="397"/>
      <c r="J330" s="397"/>
      <c r="K330" s="397"/>
      <c r="L330" s="397"/>
      <c r="M330" s="397"/>
      <c r="N330" s="397"/>
      <c r="O330" s="397"/>
      <c r="P330" s="397"/>
      <c r="Q330" s="397"/>
      <c r="R330" s="397"/>
      <c r="S330" s="397"/>
      <c r="T330" s="397"/>
      <c r="U330" s="397"/>
      <c r="V330" s="397"/>
      <c r="W330" s="397"/>
      <c r="X330" s="397"/>
      <c r="Y330" s="397"/>
      <c r="Z330" s="397"/>
      <c r="AA330" s="397"/>
      <c r="AB330" s="397"/>
      <c r="AC330" s="397"/>
      <c r="AD330" s="762"/>
      <c r="AH330" s="397"/>
      <c r="AI330" s="397"/>
      <c r="AJ330" s="397"/>
      <c r="AK330" s="397"/>
      <c r="AL330" s="397"/>
      <c r="AM330" s="397"/>
      <c r="AN330" s="397"/>
      <c r="AO330" s="397"/>
      <c r="AP330" s="397"/>
      <c r="AQ330" s="397"/>
      <c r="AR330" s="397"/>
      <c r="AS330" s="397"/>
      <c r="AT330" s="397"/>
      <c r="AU330" s="397"/>
      <c r="AV330" s="397"/>
      <c r="AW330" s="397"/>
      <c r="AX330" s="397"/>
      <c r="AY330" s="397"/>
      <c r="AZ330" s="397"/>
      <c r="BA330" s="397"/>
      <c r="BB330" s="397"/>
      <c r="BC330" s="397"/>
    </row>
    <row r="331" spans="1:55" s="40" customFormat="1" x14ac:dyDescent="0.4">
      <c r="A331" s="50"/>
      <c r="B331" s="1038"/>
      <c r="C331" s="1038"/>
      <c r="D331" s="245"/>
      <c r="F331" s="397"/>
      <c r="G331" s="397"/>
      <c r="H331" s="240"/>
      <c r="I331" s="397"/>
      <c r="J331" s="397"/>
      <c r="K331" s="397"/>
      <c r="L331" s="397"/>
      <c r="M331" s="397"/>
      <c r="N331" s="397"/>
      <c r="O331" s="397"/>
      <c r="P331" s="397"/>
      <c r="Q331" s="397"/>
      <c r="R331" s="397"/>
      <c r="S331" s="397"/>
      <c r="T331" s="397"/>
      <c r="U331" s="397"/>
      <c r="V331" s="397"/>
      <c r="W331" s="397"/>
      <c r="X331" s="397"/>
      <c r="Y331" s="397"/>
      <c r="Z331" s="397"/>
      <c r="AA331" s="397"/>
      <c r="AB331" s="397"/>
      <c r="AC331" s="397"/>
      <c r="AD331" s="762"/>
      <c r="AH331" s="397"/>
      <c r="AI331" s="397"/>
      <c r="AJ331" s="397"/>
      <c r="AK331" s="397"/>
      <c r="AL331" s="397"/>
      <c r="AM331" s="397"/>
      <c r="AN331" s="397"/>
      <c r="AO331" s="397"/>
      <c r="AP331" s="397"/>
      <c r="AQ331" s="397"/>
      <c r="AR331" s="397"/>
      <c r="AS331" s="397"/>
      <c r="AT331" s="397"/>
      <c r="AU331" s="397"/>
      <c r="AV331" s="397"/>
      <c r="AW331" s="397"/>
      <c r="AX331" s="397"/>
      <c r="AY331" s="397"/>
      <c r="AZ331" s="397"/>
      <c r="BA331" s="397"/>
      <c r="BB331" s="397"/>
      <c r="BC331" s="397"/>
    </row>
    <row r="332" spans="1:55" s="40" customFormat="1" x14ac:dyDescent="0.4">
      <c r="A332" s="50"/>
      <c r="B332" s="1038"/>
      <c r="C332" s="1038"/>
      <c r="D332" s="245"/>
      <c r="F332" s="397"/>
      <c r="G332" s="397"/>
      <c r="H332" s="240"/>
      <c r="I332" s="397"/>
      <c r="J332" s="397"/>
      <c r="K332" s="397"/>
      <c r="L332" s="397"/>
      <c r="M332" s="397"/>
      <c r="N332" s="397"/>
      <c r="O332" s="397"/>
      <c r="P332" s="397"/>
      <c r="Q332" s="397"/>
      <c r="R332" s="397"/>
      <c r="S332" s="397"/>
      <c r="T332" s="397"/>
      <c r="U332" s="397"/>
      <c r="V332" s="397"/>
      <c r="W332" s="397"/>
      <c r="X332" s="397"/>
      <c r="Y332" s="397"/>
      <c r="Z332" s="397"/>
      <c r="AA332" s="397"/>
      <c r="AB332" s="397"/>
      <c r="AC332" s="397"/>
      <c r="AD332" s="762"/>
      <c r="AH332" s="397"/>
      <c r="AI332" s="397"/>
      <c r="AJ332" s="397"/>
      <c r="AK332" s="397"/>
      <c r="AL332" s="397"/>
      <c r="AM332" s="397"/>
      <c r="AN332" s="397"/>
      <c r="AO332" s="397"/>
      <c r="AP332" s="397"/>
      <c r="AQ332" s="397"/>
      <c r="AR332" s="397"/>
      <c r="AS332" s="397"/>
      <c r="AT332" s="397"/>
      <c r="AU332" s="397"/>
      <c r="AV332" s="397"/>
      <c r="AW332" s="397"/>
      <c r="AX332" s="397"/>
      <c r="AY332" s="397"/>
      <c r="AZ332" s="397"/>
      <c r="BA332" s="397"/>
      <c r="BB332" s="397"/>
      <c r="BC332" s="397"/>
    </row>
    <row r="333" spans="1:55" s="40" customFormat="1" x14ac:dyDescent="0.4">
      <c r="A333" s="50"/>
      <c r="B333" s="1038"/>
      <c r="C333" s="1038"/>
      <c r="D333" s="245"/>
      <c r="F333" s="397"/>
      <c r="G333" s="397"/>
      <c r="H333" s="240"/>
      <c r="I333" s="397"/>
      <c r="J333" s="397"/>
      <c r="K333" s="397"/>
      <c r="L333" s="397"/>
      <c r="M333" s="397"/>
      <c r="N333" s="397"/>
      <c r="O333" s="397"/>
      <c r="P333" s="397"/>
      <c r="Q333" s="397"/>
      <c r="R333" s="397"/>
      <c r="S333" s="397"/>
      <c r="T333" s="397"/>
      <c r="U333" s="397"/>
      <c r="V333" s="397"/>
      <c r="W333" s="397"/>
      <c r="X333" s="397"/>
      <c r="Y333" s="397"/>
      <c r="Z333" s="397"/>
      <c r="AA333" s="397"/>
      <c r="AB333" s="397"/>
      <c r="AC333" s="397"/>
      <c r="AD333" s="762"/>
      <c r="AH333" s="397"/>
      <c r="AI333" s="397"/>
      <c r="AJ333" s="397"/>
      <c r="AK333" s="397"/>
      <c r="AL333" s="397"/>
      <c r="AM333" s="397"/>
      <c r="AN333" s="397"/>
      <c r="AO333" s="397"/>
      <c r="AP333" s="397"/>
      <c r="AQ333" s="397"/>
      <c r="AR333" s="397"/>
      <c r="AS333" s="397"/>
      <c r="AT333" s="397"/>
      <c r="AU333" s="397"/>
      <c r="AV333" s="397"/>
      <c r="AW333" s="397"/>
      <c r="AX333" s="397"/>
      <c r="AY333" s="397"/>
      <c r="AZ333" s="397"/>
      <c r="BA333" s="397"/>
      <c r="BB333" s="397"/>
      <c r="BC333" s="397"/>
    </row>
    <row r="334" spans="1:55" s="40" customFormat="1" x14ac:dyDescent="0.4">
      <c r="A334" s="50"/>
      <c r="B334" s="1038"/>
      <c r="C334" s="1038"/>
      <c r="D334" s="245" t="s">
        <v>48</v>
      </c>
      <c r="F334" s="397"/>
      <c r="G334" s="397"/>
      <c r="H334" s="240"/>
      <c r="I334" s="397"/>
      <c r="J334" s="397"/>
      <c r="K334" s="397"/>
      <c r="L334" s="397"/>
      <c r="M334" s="397"/>
      <c r="N334" s="397"/>
      <c r="O334" s="397"/>
      <c r="P334" s="397"/>
      <c r="Q334" s="397"/>
      <c r="R334" s="397"/>
      <c r="S334" s="397"/>
      <c r="T334" s="397"/>
      <c r="U334" s="397"/>
      <c r="V334" s="397"/>
      <c r="W334" s="397"/>
      <c r="X334" s="397"/>
      <c r="Y334" s="397"/>
      <c r="Z334" s="397"/>
      <c r="AA334" s="397"/>
      <c r="AB334" s="397"/>
      <c r="AC334" s="397"/>
      <c r="AD334" s="762"/>
      <c r="AH334" s="397"/>
      <c r="AI334" s="397"/>
      <c r="AJ334" s="397"/>
      <c r="AK334" s="397"/>
      <c r="AL334" s="397"/>
      <c r="AM334" s="397"/>
      <c r="AN334" s="397"/>
      <c r="AO334" s="397"/>
      <c r="AP334" s="397"/>
      <c r="AQ334" s="397"/>
      <c r="AR334" s="397"/>
      <c r="AS334" s="397"/>
      <c r="AT334" s="397"/>
      <c r="AU334" s="397"/>
      <c r="AV334" s="397"/>
      <c r="AW334" s="397"/>
      <c r="AX334" s="397"/>
      <c r="AY334" s="397"/>
      <c r="AZ334" s="397"/>
      <c r="BA334" s="397"/>
      <c r="BB334" s="397"/>
      <c r="BC334" s="397"/>
    </row>
    <row r="335" spans="1:55" s="40" customFormat="1" x14ac:dyDescent="0.4">
      <c r="A335" s="50"/>
      <c r="B335" s="1038"/>
      <c r="C335" s="1038"/>
      <c r="D335" s="245"/>
      <c r="F335" s="397"/>
      <c r="G335" s="397"/>
      <c r="H335" s="240"/>
      <c r="I335" s="397"/>
      <c r="J335" s="397"/>
      <c r="K335" s="397"/>
      <c r="L335" s="397"/>
      <c r="M335" s="397"/>
      <c r="N335" s="397"/>
      <c r="O335" s="397"/>
      <c r="P335" s="397"/>
      <c r="Q335" s="397"/>
      <c r="R335" s="397"/>
      <c r="S335" s="397"/>
      <c r="T335" s="397"/>
      <c r="U335" s="397"/>
      <c r="V335" s="397"/>
      <c r="W335" s="397"/>
      <c r="X335" s="397"/>
      <c r="Y335" s="397"/>
      <c r="Z335" s="397"/>
      <c r="AA335" s="397"/>
      <c r="AB335" s="397"/>
      <c r="AC335" s="397"/>
      <c r="AD335" s="762"/>
      <c r="AH335" s="397"/>
      <c r="AI335" s="397"/>
      <c r="AJ335" s="397"/>
      <c r="AK335" s="397"/>
      <c r="AL335" s="397"/>
      <c r="AM335" s="397"/>
      <c r="AN335" s="397"/>
      <c r="AO335" s="397"/>
      <c r="AP335" s="397"/>
      <c r="AQ335" s="397"/>
      <c r="AR335" s="397"/>
      <c r="AS335" s="397"/>
      <c r="AT335" s="397"/>
      <c r="AU335" s="397"/>
      <c r="AV335" s="397"/>
      <c r="AW335" s="397"/>
      <c r="AX335" s="397"/>
      <c r="AY335" s="397"/>
      <c r="AZ335" s="397"/>
      <c r="BA335" s="397"/>
      <c r="BB335" s="397"/>
      <c r="BC335" s="397"/>
    </row>
    <row r="336" spans="1:55" s="73" customFormat="1" ht="82.5" customHeight="1" x14ac:dyDescent="0.4">
      <c r="A336" s="1051"/>
      <c r="B336" s="1051"/>
      <c r="C336" s="1051"/>
      <c r="E336" s="1071" t="s">
        <v>211</v>
      </c>
      <c r="F336" s="194"/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770"/>
      <c r="AG336" s="73" t="s">
        <v>183</v>
      </c>
      <c r="AH336" s="194"/>
      <c r="AI336" s="194"/>
      <c r="AJ336" s="194"/>
      <c r="AK336" s="194"/>
      <c r="AL336" s="194"/>
      <c r="AM336" s="194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</row>
    <row r="337" spans="1:56" s="40" customFormat="1" x14ac:dyDescent="0.4">
      <c r="A337" s="50"/>
      <c r="B337" s="1038"/>
      <c r="C337" s="1038"/>
      <c r="D337" s="245" t="s">
        <v>48</v>
      </c>
      <c r="F337" s="397"/>
      <c r="G337" s="397"/>
      <c r="H337" s="240"/>
      <c r="I337" s="397"/>
      <c r="J337" s="397"/>
      <c r="K337" s="397"/>
      <c r="L337" s="397"/>
      <c r="M337" s="397"/>
      <c r="N337" s="397"/>
      <c r="O337" s="397"/>
      <c r="P337" s="397"/>
      <c r="Q337" s="397"/>
      <c r="R337" s="397"/>
      <c r="S337" s="397"/>
      <c r="T337" s="397"/>
      <c r="U337" s="397"/>
      <c r="V337" s="397"/>
      <c r="W337" s="397"/>
      <c r="X337" s="397"/>
      <c r="Y337" s="397"/>
      <c r="Z337" s="397"/>
      <c r="AA337" s="397"/>
      <c r="AB337" s="397"/>
      <c r="AC337" s="397"/>
      <c r="AD337" s="762"/>
      <c r="AH337" s="397"/>
      <c r="AI337" s="397"/>
      <c r="AJ337" s="397"/>
      <c r="AK337" s="397"/>
      <c r="AL337" s="397"/>
      <c r="AM337" s="397"/>
      <c r="AN337" s="397"/>
      <c r="AO337" s="397"/>
      <c r="AP337" s="397"/>
      <c r="AQ337" s="397"/>
      <c r="AR337" s="397"/>
      <c r="AS337" s="397"/>
      <c r="AT337" s="397"/>
      <c r="AU337" s="397"/>
      <c r="AV337" s="397"/>
      <c r="AW337" s="397"/>
      <c r="AX337" s="397"/>
      <c r="AY337" s="397"/>
      <c r="AZ337" s="397"/>
      <c r="BA337" s="397"/>
      <c r="BB337" s="397"/>
      <c r="BC337" s="397"/>
    </row>
    <row r="338" spans="1:56" ht="46.95" customHeight="1" x14ac:dyDescent="0.4">
      <c r="D338" s="236"/>
      <c r="E338" s="1241" t="str">
        <f>"STAÐAN ÁRIÐ "&amp;$A$1</f>
        <v>STAÐAN ÁRIÐ 2024</v>
      </c>
      <c r="F338" s="890"/>
      <c r="G338" s="890"/>
      <c r="H338" s="890"/>
      <c r="I338" s="890"/>
      <c r="J338" s="890"/>
      <c r="K338" s="890"/>
      <c r="L338" s="890"/>
      <c r="M338" s="890"/>
      <c r="O338" s="1241" t="s">
        <v>403</v>
      </c>
      <c r="P338" s="1243" t="s">
        <v>416</v>
      </c>
      <c r="Q338" s="1244"/>
      <c r="R338" s="1244"/>
      <c r="S338" s="1244"/>
      <c r="AG338" s="1241" t="str">
        <f>$AG$6</f>
        <v>2024 EMISSIONS</v>
      </c>
      <c r="AH338" s="890"/>
      <c r="AI338" s="890"/>
      <c r="AJ338" s="890"/>
      <c r="AK338" s="890"/>
      <c r="AL338" s="890"/>
      <c r="AM338" s="890"/>
      <c r="AN338" s="890"/>
      <c r="AO338" s="890"/>
      <c r="AP338" s="228"/>
      <c r="AQ338" s="1241" t="str">
        <f>$AQ$6</f>
        <v>OUTLOOKS</v>
      </c>
      <c r="AR338" s="1243" t="str">
        <f>$AR$6</f>
        <v>Estimated change in emissions based on
With Existing Measures scenario</v>
      </c>
      <c r="AS338" s="1244"/>
      <c r="AT338" s="1244"/>
      <c r="AU338" s="1244"/>
      <c r="AV338" s="8"/>
      <c r="AW338" s="8"/>
      <c r="AX338" s="8"/>
      <c r="AY338" s="8"/>
      <c r="AZ338" s="8"/>
      <c r="BA338" s="8"/>
      <c r="BB338" s="8"/>
      <c r="BC338" s="8"/>
    </row>
    <row r="339" spans="1:56" s="40" customFormat="1" ht="17.399999999999999" x14ac:dyDescent="0.4">
      <c r="A339" s="50"/>
      <c r="B339" s="1038"/>
      <c r="C339" s="1038"/>
      <c r="D339" s="245" t="s">
        <v>48</v>
      </c>
      <c r="E339" s="1241"/>
      <c r="F339" s="1245" t="str">
        <f>"Losun "&amp;$A$1</f>
        <v>Losun 2024</v>
      </c>
      <c r="G339" s="1246"/>
      <c r="H339" s="1248" t="str">
        <f>"Breyting frá "&amp;$B$3</f>
        <v>Breyting frá 2023</v>
      </c>
      <c r="I339" s="1249"/>
      <c r="J339" s="1247" t="str">
        <f>"Breyting frá "&amp;$B$2</f>
        <v>Breyting frá 2005</v>
      </c>
      <c r="K339" s="1246"/>
      <c r="L339" s="1247" t="str">
        <f>"Breyting frá "&amp;$B$1</f>
        <v>Breyting frá 1990</v>
      </c>
      <c r="M339" s="1245"/>
      <c r="N339" s="240"/>
      <c r="O339" s="1241"/>
      <c r="P339" s="1247" t="s">
        <v>417</v>
      </c>
      <c r="Q339" s="1246"/>
      <c r="R339" s="1247" t="s">
        <v>418</v>
      </c>
      <c r="S339" s="1245"/>
      <c r="T339" s="397"/>
      <c r="U339" s="397"/>
      <c r="V339" s="397"/>
      <c r="W339" s="397"/>
      <c r="X339" s="397"/>
      <c r="Y339" s="397"/>
      <c r="Z339" s="397"/>
      <c r="AA339" s="397"/>
      <c r="AB339" s="397"/>
      <c r="AC339" s="397"/>
      <c r="AD339" s="762"/>
      <c r="AG339" s="1241"/>
      <c r="AH339" s="1245" t="str">
        <f>$AH$7</f>
        <v>Emissions in 2023</v>
      </c>
      <c r="AI339" s="1246"/>
      <c r="AJ339" s="1247" t="str">
        <f>$AJ$7</f>
        <v>Change from 2022</v>
      </c>
      <c r="AK339" s="1246"/>
      <c r="AL339" s="1247" t="str">
        <f>$AL$7</f>
        <v>Change from 2005</v>
      </c>
      <c r="AM339" s="1246"/>
      <c r="AN339" s="1247" t="str">
        <f>$AN$7</f>
        <v>Change from 1990</v>
      </c>
      <c r="AO339" s="1246"/>
      <c r="AP339" s="228"/>
      <c r="AQ339" s="1241"/>
      <c r="AR339" s="1247" t="str">
        <f>$AR$7</f>
        <v>2030 compared to 2005</v>
      </c>
      <c r="AS339" s="1246"/>
      <c r="AT339" s="1247" t="str">
        <f>$AT$7</f>
        <v>2055 compared to 1990</v>
      </c>
      <c r="AU339" s="1245"/>
    </row>
    <row r="340" spans="1:56" s="40" customFormat="1" ht="17.399999999999999" thickBot="1" x14ac:dyDescent="0.45">
      <c r="A340" s="50"/>
      <c r="B340" s="1038"/>
      <c r="C340" s="1038"/>
      <c r="D340" s="245" t="s">
        <v>48</v>
      </c>
      <c r="E340" s="1242"/>
      <c r="F340" s="817" t="s">
        <v>429</v>
      </c>
      <c r="G340" s="818" t="s">
        <v>4</v>
      </c>
      <c r="H340" s="817" t="str">
        <f>$F$8</f>
        <v>Þús. tonn CO₂-íg.</v>
      </c>
      <c r="I340" s="818" t="s">
        <v>4</v>
      </c>
      <c r="J340" s="817" t="str">
        <f>$F$8</f>
        <v>Þús. tonn CO₂-íg.</v>
      </c>
      <c r="K340" s="818" t="s">
        <v>4</v>
      </c>
      <c r="L340" s="817" t="str">
        <f>$F$8</f>
        <v>Þús. tonn CO₂-íg.</v>
      </c>
      <c r="M340" s="817" t="s">
        <v>4</v>
      </c>
      <c r="N340" s="240"/>
      <c r="O340" s="1242"/>
      <c r="P340" s="817" t="str">
        <f>$F$8</f>
        <v>Þús. tonn CO₂-íg.</v>
      </c>
      <c r="Q340" s="818" t="s">
        <v>4</v>
      </c>
      <c r="R340" s="817" t="str">
        <f>$F$8</f>
        <v>Þús. tonn CO₂-íg.</v>
      </c>
      <c r="S340" s="817" t="s">
        <v>4</v>
      </c>
      <c r="T340" s="397"/>
      <c r="U340" s="397"/>
      <c r="V340" s="397"/>
      <c r="W340" s="397"/>
      <c r="X340" s="397"/>
      <c r="Y340" s="397"/>
      <c r="Z340" s="397"/>
      <c r="AA340" s="397"/>
      <c r="AB340" s="397"/>
      <c r="AC340" s="397"/>
      <c r="AD340" s="762"/>
      <c r="AG340" s="1242"/>
      <c r="AH340" s="817" t="str">
        <f>$AH$8</f>
        <v>Thousand tons CO₂e</v>
      </c>
      <c r="AI340" s="818" t="s">
        <v>4</v>
      </c>
      <c r="AJ340" s="817" t="str">
        <f>$AH$8</f>
        <v>Thousand tons CO₂e</v>
      </c>
      <c r="AK340" s="818" t="s">
        <v>4</v>
      </c>
      <c r="AL340" s="817" t="str">
        <f>$F$8</f>
        <v>Þús. tonn CO₂-íg.</v>
      </c>
      <c r="AM340" s="818" t="s">
        <v>4</v>
      </c>
      <c r="AN340" s="817" t="str">
        <f>$AH$8</f>
        <v>Thousand tons CO₂e</v>
      </c>
      <c r="AO340" s="818" t="s">
        <v>4</v>
      </c>
      <c r="AP340" s="228"/>
      <c r="AQ340" s="1242"/>
      <c r="AR340" s="817" t="str">
        <f>$AH$8</f>
        <v>Thousand tons CO₂e</v>
      </c>
      <c r="AS340" s="818" t="s">
        <v>4</v>
      </c>
      <c r="AT340" s="817" t="str">
        <f>$AH$8</f>
        <v>Thousand tons CO₂e</v>
      </c>
      <c r="AU340" s="817" t="s">
        <v>4</v>
      </c>
      <c r="AV340" s="8"/>
      <c r="AW340" s="8"/>
      <c r="AX340" s="8"/>
      <c r="AY340" s="8"/>
      <c r="AZ340" s="8"/>
      <c r="BA340" s="8"/>
      <c r="BB340" s="8"/>
      <c r="BC340" s="8"/>
      <c r="BD340" s="8"/>
    </row>
    <row r="341" spans="1:56" s="40" customFormat="1" ht="21" customHeight="1" thickTop="1" x14ac:dyDescent="0.4">
      <c r="A341" s="50" t="s">
        <v>58</v>
      </c>
      <c r="B341" s="50" t="s">
        <v>283</v>
      </c>
      <c r="C341" s="50" t="s">
        <v>289</v>
      </c>
      <c r="D341" s="245" t="s">
        <v>48</v>
      </c>
      <c r="E341" s="819" t="str">
        <f>'Talnagögn | Numerical Data'!$D$84</f>
        <v>Álframleiðsla</v>
      </c>
      <c r="F341" s="828" cm="1">
        <f t="array" ref="F341">INDEX('Talnagögn | Numerical Data'!$1:$1048576,_xlfn.XMATCH($A341,'Talnagögn | Numerical Data'!$A:$A),_xlfn.XMATCH($A$1,'Talnagögn | Numerical Data'!$1:$1))</f>
        <v>1360.4102725798757</v>
      </c>
      <c r="G341" s="829">
        <f>F341/$F$345</f>
        <v>0.67797006156214235</v>
      </c>
      <c r="H341" s="830" cm="1">
        <f t="array" ref="H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Data'!$A:$A),_xlfn.XMATCH($B$3,'Talnagögn | Numerical Data'!$1:$1))</f>
        <v>-42.239369088812055</v>
      </c>
      <c r="I341" s="831" cm="1">
        <f t="array" ref="I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Data'!$A:$A),_xlfn.XMATCH($B$3,'Talnagögn | Numerical Data'!$1:$1))-1</f>
        <v>-3.0113984158268603E-2</v>
      </c>
      <c r="J341" s="830" cm="1">
        <f t="array" ref="J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Data'!$A:$A),_xlfn.XMATCH($B$2,'Talnagögn | Numerical Data'!$1:$1))</f>
        <v>915.60175641278852</v>
      </c>
      <c r="K341" s="829" cm="1">
        <f t="array" ref="K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Data'!$A:$A),_xlfn.XMATCH($B$2,'Talnagögn | Numerical Data'!$1:$1))-1</f>
        <v>2.0584177755914488</v>
      </c>
      <c r="L341" s="830" cm="1">
        <f t="array" ref="L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Data'!$A:$A),_xlfn.XMATCH($B$1,'Talnagögn | Numerical Data'!$1:$1))</f>
        <v>776.38379980906973</v>
      </c>
      <c r="M341" s="832" cm="1">
        <f t="array" ref="M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Data'!$A:$A),_xlfn.XMATCH($B$1,'Talnagögn | Numerical Data'!$1:$1))-1</f>
        <v>1.3293640545533147</v>
      </c>
      <c r="O341" s="819" t="str">
        <f>'Talnagögn | Numerical Data'!$D$84</f>
        <v>Álframleiðsla</v>
      </c>
      <c r="P341" s="830" cm="1">
        <f t="array" ref="P341">INDEX('Talnagögn | Numerical Data'!$1:$1048576,_xlfn.XMATCH($B341,'Talnagögn | Numerical Data'!$B:$B),_xlfn.XMATCH($B$4,'Talnagögn | Numerical Data'!$1:$1))-INDEX('Talnagögn | Numerical Data'!$1:$1048576,_xlfn.XMATCH($A341,'Talnagögn | Numerical Data'!$A:$A),_xlfn.XMATCH($B$2,'Talnagögn | Numerical Data'!$1:$1))</f>
        <v>982.37182082370032</v>
      </c>
      <c r="Q341" s="829" cm="1">
        <f t="array" ref="Q341">INDEX('Talnagögn | Numerical Data'!$1:$1048576,_xlfn.XMATCH($B341,'Talnagögn | Numerical Data'!$B:$B),_xlfn.XMATCH($B$4,'Talnagögn | Numerical Data'!$1:$1))/INDEX('Talnagögn | Numerical Data'!$1:$1048576,_xlfn.XMATCH($A341,'Talnagögn | Numerical Data'!$A:$A),_xlfn.XMATCH($B$2,'Talnagögn | Numerical Data'!$1:$1))-1</f>
        <v>2.2085274564632749</v>
      </c>
      <c r="R341" s="828" cm="1">
        <f t="array" ref="R341">INDEX('Talnagögn | Numerical Data'!$1:$1048576,_xlfn.XMATCH($B341,'Talnagögn | Numerical Data'!$B:$B),_xlfn.XMATCH($B$5,'Talnagögn | Numerical Data'!$1:$1))-INDEX('Talnagögn | Numerical Data'!$1:$1048576,_xlfn.XMATCH($A341,'Talnagögn | Numerical Data'!$A:$A),_xlfn.XMATCH($B$1,'Talnagögn | Numerical Data'!$1:$1))</f>
        <v>848.06472280738205</v>
      </c>
      <c r="S341" s="842" cm="1">
        <f t="array" ref="S341">INDEX('Talnagögn | Numerical Data'!$1:$1048576,_xlfn.XMATCH($B341,'Talnagögn | Numerical Data'!$B:$B),_xlfn.XMATCH($B$5,'Talnagögn | Numerical Data'!$1:$1))/INDEX('Talnagögn | Numerical Data'!$1:$1048576,_xlfn.XMATCH($A341,'Talnagögn | Numerical Data'!$A:$A),_xlfn.XMATCH($B$1,'Talnagögn | Numerical Data'!$1:$1))-1</f>
        <v>1.452099797435372</v>
      </c>
      <c r="T341" s="397"/>
      <c r="U341" s="397"/>
      <c r="V341" s="397"/>
      <c r="W341" s="397"/>
      <c r="X341" s="397"/>
      <c r="Y341" s="397"/>
      <c r="Z341" s="397"/>
      <c r="AA341" s="397"/>
      <c r="AB341" s="397"/>
      <c r="AC341" s="397"/>
      <c r="AD341" s="762"/>
      <c r="AG341" s="819" t="str">
        <f>'Talnagögn | Numerical Data'!$E$84</f>
        <v>Aluminium Production</v>
      </c>
      <c r="AH341" s="828" cm="1">
        <f t="array" ref="AH341">INDEX('Talnagögn | Numerical Data'!$1:$1048576,_xlfn.XMATCH($A341,'Talnagögn | Numerical Data'!$A:$A),_xlfn.XMATCH($A$1,'Talnagögn | Numerical Data'!$1:$1))</f>
        <v>1360.4102725798757</v>
      </c>
      <c r="AI341" s="829">
        <f>AH341/$F$345</f>
        <v>0.67797006156214235</v>
      </c>
      <c r="AJ341" s="830" cm="1">
        <f t="array" ref="AJ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Data'!$A:$A),_xlfn.XMATCH($B$3,'Talnagögn | Numerical Data'!$1:$1))</f>
        <v>-42.239369088812055</v>
      </c>
      <c r="AK341" s="831" cm="1">
        <f t="array" ref="AK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Data'!$A:$A),_xlfn.XMATCH($B$3,'Talnagögn | Numerical Data'!$1:$1))-1</f>
        <v>-3.0113984158268603E-2</v>
      </c>
      <c r="AL341" s="830" cm="1">
        <f t="array" ref="AL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Data'!$A:$A),_xlfn.XMATCH($B$2,'Talnagögn | Numerical Data'!$1:$1))</f>
        <v>915.60175641278852</v>
      </c>
      <c r="AM341" s="829" cm="1">
        <f t="array" ref="AM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Data'!$A:$A),_xlfn.XMATCH($B$2,'Talnagögn | Numerical Data'!$1:$1))-1</f>
        <v>2.0584177755914488</v>
      </c>
      <c r="AN341" s="830" cm="1">
        <f t="array" ref="AN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Data'!$A:$A),_xlfn.XMATCH($B$1,'Talnagögn | Numerical Data'!$1:$1))</f>
        <v>776.38379980906973</v>
      </c>
      <c r="AO341" s="832" cm="1">
        <f t="array" ref="AO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Data'!$A:$A),_xlfn.XMATCH($B$1,'Talnagögn | Numerical Data'!$1:$1))-1</f>
        <v>1.3293640545533147</v>
      </c>
      <c r="AQ341" s="819" t="str">
        <f>'Talnagögn | Numerical Data'!$E$84</f>
        <v>Aluminium Production</v>
      </c>
      <c r="AR341" s="830" cm="1">
        <f t="array" ref="AR341">INDEX('Talnagögn | Numerical Data'!$1:$1048576,_xlfn.XMATCH($B341,'Talnagögn | Numerical Data'!$B:$B),_xlfn.XMATCH($B$4,'Talnagögn | Numerical Data'!$1:$1))-INDEX('Talnagögn | Numerical Data'!$1:$1048576,_xlfn.XMATCH($A341,'Talnagögn | Numerical Data'!$A:$A),_xlfn.XMATCH($B$2,'Talnagögn | Numerical Data'!$1:$1))</f>
        <v>982.37182082370032</v>
      </c>
      <c r="AS341" s="829" cm="1">
        <f t="array" ref="AS341">INDEX('Talnagögn | Numerical Data'!$1:$1048576,_xlfn.XMATCH($B341,'Talnagögn | Numerical Data'!$B:$B),_xlfn.XMATCH($B$4,'Talnagögn | Numerical Data'!$1:$1))/INDEX('Talnagögn | Numerical Data'!$1:$1048576,_xlfn.XMATCH($A341,'Talnagögn | Numerical Data'!$A:$A),_xlfn.XMATCH($B$2,'Talnagögn | Numerical Data'!$1:$1))-1</f>
        <v>2.2085274564632749</v>
      </c>
      <c r="AT341" s="828" cm="1">
        <f t="array" ref="AT341">INDEX('Talnagögn | Numerical Data'!$1:$1048576,_xlfn.XMATCH($B341,'Talnagögn | Numerical Data'!$B:$B),_xlfn.XMATCH($B$5,'Talnagögn | Numerical Data'!$1:$1))-INDEX('Talnagögn | Numerical Data'!$1:$1048576,_xlfn.XMATCH($A341,'Talnagögn | Numerical Data'!$A:$A),_xlfn.XMATCH($B$1,'Talnagögn | Numerical Data'!$1:$1))</f>
        <v>848.06472280738205</v>
      </c>
      <c r="AU341" s="842" cm="1">
        <f t="array" ref="AU341">INDEX('Talnagögn | Numerical Data'!$1:$1048576,_xlfn.XMATCH($B341,'Talnagögn | Numerical Data'!$B:$B),_xlfn.XMATCH($B$5,'Talnagögn | Numerical Data'!$1:$1))/INDEX('Talnagögn | Numerical Data'!$1:$1048576,_xlfn.XMATCH($A341,'Talnagögn | Numerical Data'!$A:$A),_xlfn.XMATCH($B$1,'Talnagögn | Numerical Data'!$1:$1))-1</f>
        <v>1.452099797435372</v>
      </c>
      <c r="AX341" s="397"/>
      <c r="AY341" s="397"/>
      <c r="AZ341" s="397"/>
      <c r="BA341" s="397"/>
      <c r="BB341" s="397"/>
      <c r="BC341" s="397"/>
    </row>
    <row r="342" spans="1:56" s="40" customFormat="1" ht="21" customHeight="1" x14ac:dyDescent="0.4">
      <c r="A342" s="50" t="s">
        <v>223</v>
      </c>
      <c r="B342" s="50" t="s">
        <v>284</v>
      </c>
      <c r="C342" s="50" t="s">
        <v>290</v>
      </c>
      <c r="D342" s="245" t="s">
        <v>48</v>
      </c>
      <c r="E342" s="820" t="str">
        <f>'Talnagögn | Numerical Data'!$D$85</f>
        <v>Kísil- og kísilmálmframleiðsla</v>
      </c>
      <c r="F342" s="830" cm="1">
        <f t="array" ref="F342">INDEX('Talnagögn | Numerical Data'!$1:$1048576,_xlfn.XMATCH($A342,'Talnagögn | Numerical Data'!$A:$A),_xlfn.XMATCH($A$1,'Talnagögn | Numerical Data'!$1:$1))</f>
        <v>527.31915978550001</v>
      </c>
      <c r="G342" s="833">
        <f>F342/$F$345</f>
        <v>0.26279322527071103</v>
      </c>
      <c r="H342" s="830" cm="1">
        <f t="array" ref="H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Data'!$A:$A),_xlfn.XMATCH($B$3,'Talnagögn | Numerical Data'!$1:$1))</f>
        <v>119.11485504318347</v>
      </c>
      <c r="I342" s="833" cm="1">
        <f t="array" ref="I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Data'!$A:$A),_xlfn.XMATCH($B$3,'Talnagögn | Numerical Data'!$1:$1))-1</f>
        <v>0.29180205514583202</v>
      </c>
      <c r="J342" s="830" cm="1">
        <f t="array" ref="J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Data'!$A:$A),_xlfn.XMATCH($B$2,'Talnagögn | Numerical Data'!$1:$1))</f>
        <v>147.37626577909998</v>
      </c>
      <c r="K342" s="833" cm="1">
        <f t="array" ref="K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Data'!$A:$A),_xlfn.XMATCH($B$2,'Talnagögn | Numerical Data'!$1:$1))-1</f>
        <v>0.38789057014609529</v>
      </c>
      <c r="L342" s="830" cm="1">
        <f t="array" ref="L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Data'!$A:$A),_xlfn.XMATCH($B$1,'Talnagögn | Numerical Data'!$1:$1))</f>
        <v>316.76443807883334</v>
      </c>
      <c r="M342" s="832" cm="1">
        <f t="array" ref="M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Data'!$A:$A),_xlfn.XMATCH($B$1,'Talnagögn | Numerical Data'!$1:$1))-1</f>
        <v>1.504428091240491</v>
      </c>
      <c r="O342" s="820" t="str">
        <f>'Talnagögn | Numerical Data'!$D$85</f>
        <v>Kísil- og kísilmálmframleiðsla</v>
      </c>
      <c r="P342" s="830" cm="1">
        <f t="array" ref="P342">INDEX('Talnagögn | Numerical Data'!$1:$1048576,_xlfn.XMATCH($B342,'Talnagögn | Numerical Data'!$B:$B),_xlfn.XMATCH($B$4,'Talnagögn | Numerical Data'!$1:$1))-INDEX('Talnagögn | Numerical Data'!$1:$1048576,_xlfn.XMATCH($A342,'Talnagögn | Numerical Data'!$A:$A),_xlfn.XMATCH($B$2,'Talnagögn | Numerical Data'!$1:$1))</f>
        <v>118.24640032687836</v>
      </c>
      <c r="Q342" s="833" cm="1">
        <f t="array" ref="Q342">INDEX('Talnagögn | Numerical Data'!$1:$1048576,_xlfn.XMATCH($B342,'Talnagögn | Numerical Data'!$B:$B),_xlfn.XMATCH($B$4,'Talnagögn | Numerical Data'!$1:$1))/INDEX('Talnagögn | Numerical Data'!$1:$1048576,_xlfn.XMATCH($A342,'Talnagögn | Numerical Data'!$A:$A),_xlfn.XMATCH($B$2,'Talnagögn | Numerical Data'!$1:$1))-1</f>
        <v>0.311221507737651</v>
      </c>
      <c r="R342" s="830" cm="1">
        <f t="array" ref="R342">INDEX('Talnagögn | Numerical Data'!$1:$1048576,_xlfn.XMATCH($B342,'Talnagögn | Numerical Data'!$B:$B),_xlfn.XMATCH($B$5,'Talnagögn | Numerical Data'!$1:$1))-INDEX('Talnagögn | Numerical Data'!$1:$1048576,_xlfn.XMATCH($A342,'Talnagögn | Numerical Data'!$A:$A),_xlfn.XMATCH($B$1,'Talnagögn | Numerical Data'!$1:$1))</f>
        <v>287.63457262661171</v>
      </c>
      <c r="S342" s="832" cm="1">
        <f t="array" ref="S342">INDEX('Talnagögn | Numerical Data'!$1:$1048576,_xlfn.XMATCH($B342,'Talnagögn | Numerical Data'!$B:$B),_xlfn.XMATCH($B$5,'Talnagögn | Numerical Data'!$1:$1))/INDEX('Talnagögn | Numerical Data'!$1:$1048576,_xlfn.XMATCH($A342,'Talnagögn | Numerical Data'!$A:$A),_xlfn.XMATCH($B$1,'Talnagögn | Numerical Data'!$1:$1))-1</f>
        <v>1.3660798974022939</v>
      </c>
      <c r="T342" s="397"/>
      <c r="U342" s="397"/>
      <c r="V342" s="397"/>
      <c r="W342" s="397"/>
      <c r="X342" s="397"/>
      <c r="Y342" s="397"/>
      <c r="Z342" s="397"/>
      <c r="AA342" s="397"/>
      <c r="AB342" s="397"/>
      <c r="AC342" s="397"/>
      <c r="AD342" s="762"/>
      <c r="AG342" s="820" t="str">
        <f>'Talnagögn | Numerical Data'!$E$85</f>
        <v>Ferrosilicon and Silicon Metal Production</v>
      </c>
      <c r="AH342" s="830" cm="1">
        <f t="array" ref="AH342">INDEX('Talnagögn | Numerical Data'!$1:$1048576,_xlfn.XMATCH($A342,'Talnagögn | Numerical Data'!$A:$A),_xlfn.XMATCH($A$1,'Talnagögn | Numerical Data'!$1:$1))</f>
        <v>527.31915978550001</v>
      </c>
      <c r="AI342" s="833">
        <f>AH342/$F$345</f>
        <v>0.26279322527071103</v>
      </c>
      <c r="AJ342" s="830" cm="1">
        <f t="array" ref="AJ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Data'!$A:$A),_xlfn.XMATCH($B$3,'Talnagögn | Numerical Data'!$1:$1))</f>
        <v>119.11485504318347</v>
      </c>
      <c r="AK342" s="833" cm="1">
        <f t="array" ref="AK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Data'!$A:$A),_xlfn.XMATCH($B$3,'Talnagögn | Numerical Data'!$1:$1))-1</f>
        <v>0.29180205514583202</v>
      </c>
      <c r="AL342" s="830" cm="1">
        <f t="array" ref="AL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Data'!$A:$A),_xlfn.XMATCH($B$2,'Talnagögn | Numerical Data'!$1:$1))</f>
        <v>147.37626577909998</v>
      </c>
      <c r="AM342" s="833" cm="1">
        <f t="array" ref="AM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Data'!$A:$A),_xlfn.XMATCH($B$2,'Talnagögn | Numerical Data'!$1:$1))-1</f>
        <v>0.38789057014609529</v>
      </c>
      <c r="AN342" s="830" cm="1">
        <f t="array" ref="AN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Data'!$A:$A),_xlfn.XMATCH($B$1,'Talnagögn | Numerical Data'!$1:$1))</f>
        <v>316.76443807883334</v>
      </c>
      <c r="AO342" s="832" cm="1">
        <f t="array" ref="AO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Data'!$A:$A),_xlfn.XMATCH($B$1,'Talnagögn | Numerical Data'!$1:$1))-1</f>
        <v>1.504428091240491</v>
      </c>
      <c r="AQ342" s="820" t="str">
        <f>'Talnagögn | Numerical Data'!$E$85</f>
        <v>Ferrosilicon and Silicon Metal Production</v>
      </c>
      <c r="AR342" s="830" cm="1">
        <f t="array" ref="AR342">INDEX('Talnagögn | Numerical Data'!$1:$1048576,_xlfn.XMATCH($B342,'Talnagögn | Numerical Data'!$B:$B),_xlfn.XMATCH($B$4,'Talnagögn | Numerical Data'!$1:$1))-INDEX('Talnagögn | Numerical Data'!$1:$1048576,_xlfn.XMATCH($A342,'Talnagögn | Numerical Data'!$A:$A),_xlfn.XMATCH($B$2,'Talnagögn | Numerical Data'!$1:$1))</f>
        <v>118.24640032687836</v>
      </c>
      <c r="AS342" s="833" cm="1">
        <f t="array" ref="AS342">INDEX('Talnagögn | Numerical Data'!$1:$1048576,_xlfn.XMATCH($B342,'Talnagögn | Numerical Data'!$B:$B),_xlfn.XMATCH($B$4,'Talnagögn | Numerical Data'!$1:$1))/INDEX('Talnagögn | Numerical Data'!$1:$1048576,_xlfn.XMATCH($A342,'Talnagögn | Numerical Data'!$A:$A),_xlfn.XMATCH($B$2,'Talnagögn | Numerical Data'!$1:$1))-1</f>
        <v>0.311221507737651</v>
      </c>
      <c r="AT342" s="830" cm="1">
        <f t="array" ref="AT342">INDEX('Talnagögn | Numerical Data'!$1:$1048576,_xlfn.XMATCH($B342,'Talnagögn | Numerical Data'!$B:$B),_xlfn.XMATCH($B$5,'Talnagögn | Numerical Data'!$1:$1))-INDEX('Talnagögn | Numerical Data'!$1:$1048576,_xlfn.XMATCH($A342,'Talnagögn | Numerical Data'!$A:$A),_xlfn.XMATCH($B$1,'Talnagögn | Numerical Data'!$1:$1))</f>
        <v>287.63457262661171</v>
      </c>
      <c r="AU342" s="832" cm="1">
        <f t="array" ref="AU342">INDEX('Talnagögn | Numerical Data'!$1:$1048576,_xlfn.XMATCH($B342,'Talnagögn | Numerical Data'!$B:$B),_xlfn.XMATCH($B$5,'Talnagögn | Numerical Data'!$1:$1))/INDEX('Talnagögn | Numerical Data'!$1:$1048576,_xlfn.XMATCH($A342,'Talnagögn | Numerical Data'!$A:$A),_xlfn.XMATCH($B$1,'Talnagögn | Numerical Data'!$1:$1))-1</f>
        <v>1.3660798974022939</v>
      </c>
      <c r="AX342" s="397"/>
      <c r="AY342" s="397"/>
      <c r="AZ342" s="397"/>
      <c r="BA342" s="397"/>
      <c r="BB342" s="397"/>
      <c r="BC342" s="397"/>
    </row>
    <row r="343" spans="1:56" s="40" customFormat="1" ht="21" customHeight="1" x14ac:dyDescent="0.4">
      <c r="A343" s="50" t="s">
        <v>60</v>
      </c>
      <c r="B343" s="50" t="s">
        <v>302</v>
      </c>
      <c r="C343" s="50" t="s">
        <v>304</v>
      </c>
      <c r="D343" s="245" t="s">
        <v>48</v>
      </c>
      <c r="E343" s="820" t="str">
        <f>'Talnagögn | Numerical Data'!$D$86</f>
        <v>F-gös (m.a. kælimiðlar)</v>
      </c>
      <c r="F343" s="830" cm="1">
        <f t="array" ref="F343">INDEX('Talnagögn | Numerical Data'!$1:$1048576,_xlfn.XMATCH($A343,'Talnagögn | Numerical Data'!$A:$A),_xlfn.XMATCH($A$1,'Talnagögn | Numerical Data'!$1:$1))</f>
        <v>107.78462088442339</v>
      </c>
      <c r="G343" s="834">
        <f>F343/$F$345</f>
        <v>5.3715226596963352E-2</v>
      </c>
      <c r="H343" s="830" cm="1">
        <f t="array" ref="H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Data'!$A:$A),_xlfn.XMATCH($B$3,'Talnagögn | Numerical Data'!$1:$1))</f>
        <v>-16.796422823941626</v>
      </c>
      <c r="I343" s="833" cm="1">
        <f t="array" ref="I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Data'!$A:$A),_xlfn.XMATCH($B$3,'Talnagögn | Numerical Data'!$1:$1))-1</f>
        <v>-0.13482326302596093</v>
      </c>
      <c r="J343" s="830" cm="1">
        <f t="array" ref="J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Data'!$A:$A),_xlfn.XMATCH($B$2,'Talnagögn | Numerical Data'!$1:$1))</f>
        <v>50.609971941778191</v>
      </c>
      <c r="K343" s="833" cm="1">
        <f t="array" ref="K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Data'!$A:$A),_xlfn.XMATCH($B$2,'Talnagögn | Numerical Data'!$1:$1))-1</f>
        <v>0.88518203220709979</v>
      </c>
      <c r="L343" s="830" cm="1">
        <f t="array" ref="L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Data'!$A:$A),_xlfn.XMATCH($B$1,'Talnagögn | Numerical Data'!$1:$1))</f>
        <v>107.15021074777628</v>
      </c>
      <c r="M343" s="832" cm="1">
        <f t="array" ref="M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Data'!$A:$A),_xlfn.XMATCH($B$1,'Talnagögn | Numerical Data'!$1:$1))-1</f>
        <v>168.89738129669681</v>
      </c>
      <c r="O343" s="820" t="str">
        <f>'Talnagögn | Numerical Data'!$D$86</f>
        <v>F-gös (m.a. kælimiðlar)</v>
      </c>
      <c r="P343" s="830" cm="1">
        <f t="array" ref="P343">INDEX('Talnagögn | Numerical Data'!$1:$1048576,_xlfn.XMATCH($B343,'Talnagögn | Numerical Data'!$B:$B),_xlfn.XMATCH($B$4,'Talnagögn | Numerical Data'!$1:$1))-INDEX('Talnagögn | Numerical Data'!$1:$1048576,_xlfn.XMATCH($A343,'Talnagögn | Numerical Data'!$A:$A),_xlfn.XMATCH($B$2,'Talnagögn | Numerical Data'!$1:$1))</f>
        <v>-21.8865058812247</v>
      </c>
      <c r="Q343" s="833" cm="1">
        <f t="array" ref="Q343">INDEX('Talnagögn | Numerical Data'!$1:$1048576,_xlfn.XMATCH($B343,'Talnagögn | Numerical Data'!$B:$B),_xlfn.XMATCH($B$4,'Talnagögn | Numerical Data'!$1:$1))/INDEX('Talnagögn | Numerical Data'!$1:$1048576,_xlfn.XMATCH($A343,'Talnagögn | Numerical Data'!$A:$A),_xlfn.XMATCH($B$2,'Talnagögn | Numerical Data'!$1:$1))-1</f>
        <v>-0.38280087916552263</v>
      </c>
      <c r="R343" s="830" cm="1">
        <f t="array" ref="R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Data'!$A:$A),_xlfn.XMATCH($B$1,'Talnagögn | Numerical Data'!$1:$1))</f>
        <v>10.761161515529114</v>
      </c>
      <c r="S343" s="832" cm="1">
        <f t="array" ref="S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Data'!$A:$A),_xlfn.XMATCH($B$1,'Talnagögn | Numerical Data'!$1:$1))-1</f>
        <v>16.962467801038649</v>
      </c>
      <c r="T343" s="397"/>
      <c r="U343" s="397"/>
      <c r="V343" s="397"/>
      <c r="W343" s="397"/>
      <c r="X343" s="397"/>
      <c r="Y343" s="397"/>
      <c r="Z343" s="397"/>
      <c r="AA343" s="397"/>
      <c r="AB343" s="397"/>
      <c r="AC343" s="397"/>
      <c r="AD343" s="762"/>
      <c r="AG343" s="820" t="str">
        <f>'Talnagögn | Numerical Data'!$E$86</f>
        <v>F-Gases</v>
      </c>
      <c r="AH343" s="830" cm="1">
        <f t="array" ref="AH343">INDEX('Talnagögn | Numerical Data'!$1:$1048576,_xlfn.XMATCH($A343,'Talnagögn | Numerical Data'!$A:$A),_xlfn.XMATCH($A$1,'Talnagögn | Numerical Data'!$1:$1))</f>
        <v>107.78462088442339</v>
      </c>
      <c r="AI343" s="834">
        <f>AH343/$F$345</f>
        <v>5.3715226596963352E-2</v>
      </c>
      <c r="AJ343" s="835" cm="1">
        <f t="array" ref="AJ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Data'!$A:$A),_xlfn.XMATCH($B$3,'Talnagögn | Numerical Data'!$1:$1))</f>
        <v>-16.796422823941626</v>
      </c>
      <c r="AK343" s="833" cm="1">
        <f t="array" ref="AK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Data'!$A:$A),_xlfn.XMATCH($B$3,'Talnagögn | Numerical Data'!$1:$1))-1</f>
        <v>-0.13482326302596093</v>
      </c>
      <c r="AL343" s="830" cm="1">
        <f t="array" ref="AL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Data'!$A:$A),_xlfn.XMATCH($B$2,'Talnagögn | Numerical Data'!$1:$1))</f>
        <v>50.609971941778191</v>
      </c>
      <c r="AM343" s="833" cm="1">
        <f t="array" ref="AM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Data'!$A:$A),_xlfn.XMATCH($B$2,'Talnagögn | Numerical Data'!$1:$1))-1</f>
        <v>0.88518203220709979</v>
      </c>
      <c r="AN343" s="830" cm="1">
        <f t="array" ref="AN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Data'!$A:$A),_xlfn.XMATCH($B$1,'Talnagögn | Numerical Data'!$1:$1))</f>
        <v>107.15021074777628</v>
      </c>
      <c r="AO343" s="832" cm="1">
        <f t="array" ref="AO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Data'!$A:$A),_xlfn.XMATCH($B$1,'Talnagögn | Numerical Data'!$1:$1))-1</f>
        <v>168.89738129669681</v>
      </c>
      <c r="AQ343" s="820" t="str">
        <f>'Talnagögn | Numerical Data'!$E$86</f>
        <v>F-Gases</v>
      </c>
      <c r="AR343" s="830" cm="1">
        <f t="array" ref="AR343">INDEX('Talnagögn | Numerical Data'!$1:$1048576,_xlfn.XMATCH($B343,'Talnagögn | Numerical Data'!$B:$B),_xlfn.XMATCH($B$4,'Talnagögn | Numerical Data'!$1:$1))-INDEX('Talnagögn | Numerical Data'!$1:$1048576,_xlfn.XMATCH($A343,'Talnagögn | Numerical Data'!$A:$A),_xlfn.XMATCH($B$2,'Talnagögn | Numerical Data'!$1:$1))</f>
        <v>-21.8865058812247</v>
      </c>
      <c r="AS343" s="833" cm="1">
        <f t="array" ref="AS343">INDEX('Talnagögn | Numerical Data'!$1:$1048576,_xlfn.XMATCH($B343,'Talnagögn | Numerical Data'!$B:$B),_xlfn.XMATCH($B$4,'Talnagögn | Numerical Data'!$1:$1))/INDEX('Talnagögn | Numerical Data'!$1:$1048576,_xlfn.XMATCH($A343,'Talnagögn | Numerical Data'!$A:$A),_xlfn.XMATCH($B$2,'Talnagögn | Numerical Data'!$1:$1))-1</f>
        <v>-0.38280087916552263</v>
      </c>
      <c r="AT343" s="830" cm="1">
        <f t="array" ref="AT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Data'!$A:$A),_xlfn.XMATCH($B$1,'Talnagögn | Numerical Data'!$1:$1))</f>
        <v>10.761161515529114</v>
      </c>
      <c r="AU343" s="832" cm="1">
        <f t="array" ref="AU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Data'!$A:$A),_xlfn.XMATCH($B$1,'Talnagögn | Numerical Data'!$1:$1))-1</f>
        <v>16.962467801038649</v>
      </c>
      <c r="AX343" s="397"/>
      <c r="AY343" s="397"/>
      <c r="AZ343" s="397"/>
      <c r="BA343" s="397"/>
      <c r="BB343" s="397"/>
      <c r="BC343" s="397"/>
    </row>
    <row r="344" spans="1:56" s="40" customFormat="1" ht="21" customHeight="1" x14ac:dyDescent="0.4">
      <c r="A344" s="242" t="s">
        <v>101</v>
      </c>
      <c r="B344" s="50" t="s">
        <v>303</v>
      </c>
      <c r="C344" s="50" t="s">
        <v>305</v>
      </c>
      <c r="D344" s="245" t="s">
        <v>48</v>
      </c>
      <c r="E344" s="821" t="s">
        <v>24</v>
      </c>
      <c r="F344" s="836" cm="1">
        <f t="array" ref="F344">INDEX('Talnagögn | Numerical Data'!$1:$1048576,_xlfn.XMATCH($A344,'Talnagögn | Numerical Data'!$A:$A),_xlfn.XMATCH($A$1,'Talnagögn | Numerical Data'!$1:$1))</f>
        <v>11.079378686252676</v>
      </c>
      <c r="G344" s="837">
        <f>F344/$F$345</f>
        <v>5.521486570183174E-3</v>
      </c>
      <c r="H344" s="838" cm="1">
        <f t="array" ref="H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Data'!$A:$A),_xlfn.XMATCH($B$3,'Talnagögn | Numerical Data'!$1:$1))</f>
        <v>0.61050331299042249</v>
      </c>
      <c r="I344" s="839" cm="1">
        <f t="array" ref="I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Data'!$A:$A),_xlfn.XMATCH($B$3,'Talnagögn | Numerical Data'!$1:$1))-1</f>
        <v>5.831603598507451E-2</v>
      </c>
      <c r="J344" s="836" cm="1">
        <f t="array" ref="J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Data'!$A:$A),_xlfn.XMATCH($B$2,'Talnagögn | Numerical Data'!$1:$1))</f>
        <v>-56.86575383058652</v>
      </c>
      <c r="K344" s="840" cm="1">
        <f t="array" ref="K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Data'!$A:$A),_xlfn.XMATCH($B$2,'Talnagögn | Numerical Data'!$1:$1))-1</f>
        <v>-0.83693638858520414</v>
      </c>
      <c r="L344" s="836" cm="1">
        <f t="array" ref="L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Data'!$A:$A),_xlfn.XMATCH($B$1,'Talnagögn | Numerical Data'!$1:$1))</f>
        <v>-95.903450512504449</v>
      </c>
      <c r="M344" s="841" cm="1">
        <f t="array" ref="M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Data'!$A:$A),_xlfn.XMATCH($B$1,'Talnagögn | Numerical Data'!$1:$1))-1</f>
        <v>-0.89643778567802734</v>
      </c>
      <c r="O344" s="821" t="s">
        <v>24</v>
      </c>
      <c r="P344" s="836" cm="1">
        <f t="array" ref="P344">INDEX('Talnagögn | Numerical Data'!$1:$1048576,_xlfn.XMATCH($B344,'Talnagögn | Numerical Data'!$B:$B),_xlfn.XMATCH($B$4,'Talnagögn | Numerical Data'!$1:$1))-INDEX('Talnagögn | Numerical Data'!$1:$1048576,_xlfn.XMATCH($A344,'Talnagögn | Numerical Data'!$A:$A),_xlfn.XMATCH($B$2,'Talnagögn | Numerical Data'!$1:$1))</f>
        <v>-56.929721589151434</v>
      </c>
      <c r="Q344" s="840" cm="1">
        <f t="array" ref="Q344">INDEX('Talnagögn | Numerical Data'!$1:$1048576,_xlfn.XMATCH($B344,'Talnagögn | Numerical Data'!$B:$B),_xlfn.XMATCH($B$4,'Talnagögn | Numerical Data'!$1:$1))/INDEX('Talnagögn | Numerical Data'!$1:$1048576,_xlfn.XMATCH($A344,'Talnagögn | Numerical Data'!$A:$A),_xlfn.XMATCH($B$2,'Talnagögn | Numerical Data'!$1:$1))-1</f>
        <v>-0.83787785055893804</v>
      </c>
      <c r="R344" s="836" cm="1">
        <f t="array" ref="R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Data'!$A:$A),_xlfn.XMATCH($B$1,'Talnagögn | Numerical Data'!$1:$1))</f>
        <v>-99.130758438812023</v>
      </c>
      <c r="S344" s="841" cm="1">
        <f t="array" ref="S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Data'!$A:$A),_xlfn.XMATCH($B$1,'Talnagögn | Numerical Data'!$1:$1))-1</f>
        <v>-0.92660438297666248</v>
      </c>
      <c r="T344" s="397"/>
      <c r="U344" s="397"/>
      <c r="V344" s="397"/>
      <c r="W344" s="397"/>
      <c r="X344" s="397"/>
      <c r="Y344" s="397"/>
      <c r="Z344" s="397"/>
      <c r="AA344" s="397"/>
      <c r="AB344" s="397"/>
      <c r="AC344" s="397"/>
      <c r="AD344" s="762"/>
      <c r="AG344" s="984" t="str">
        <f>'Talnagögn | Numerical Data'!$E$87</f>
        <v>Other Emissions</v>
      </c>
      <c r="AH344" s="836" cm="1">
        <f t="array" ref="AH344">INDEX('Talnagögn | Numerical Data'!$1:$1048576,_xlfn.XMATCH($A344,'Talnagögn | Numerical Data'!$A:$A),_xlfn.XMATCH($A$1,'Talnagögn | Numerical Data'!$1:$1))</f>
        <v>11.079378686252676</v>
      </c>
      <c r="AI344" s="837">
        <f>AH344/$F$345</f>
        <v>5.521486570183174E-3</v>
      </c>
      <c r="AJ344" s="838" cm="1">
        <f t="array" ref="AJ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Data'!$A:$A),_xlfn.XMATCH($B$3,'Talnagögn | Numerical Data'!$1:$1))</f>
        <v>0.61050331299042249</v>
      </c>
      <c r="AK344" s="839" cm="1">
        <f t="array" ref="AK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Data'!$A:$A),_xlfn.XMATCH($B$3,'Talnagögn | Numerical Data'!$1:$1))-1</f>
        <v>5.831603598507451E-2</v>
      </c>
      <c r="AL344" s="836" cm="1">
        <f t="array" ref="AL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Data'!$A:$A),_xlfn.XMATCH($B$2,'Talnagögn | Numerical Data'!$1:$1))</f>
        <v>-56.86575383058652</v>
      </c>
      <c r="AM344" s="840" cm="1">
        <f t="array" ref="AM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Data'!$A:$A),_xlfn.XMATCH($B$2,'Talnagögn | Numerical Data'!$1:$1))-1</f>
        <v>-0.83693638858520414</v>
      </c>
      <c r="AN344" s="836" cm="1">
        <f t="array" ref="AN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Data'!$A:$A),_xlfn.XMATCH($B$1,'Talnagögn | Numerical Data'!$1:$1))</f>
        <v>-95.903450512504449</v>
      </c>
      <c r="AO344" s="841" cm="1">
        <f t="array" ref="AO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Data'!$A:$A),_xlfn.XMATCH($B$1,'Talnagögn | Numerical Data'!$1:$1))-1</f>
        <v>-0.89643778567802734</v>
      </c>
      <c r="AQ344" s="984" t="str">
        <f>'Talnagögn | Numerical Data'!$E$87</f>
        <v>Other Emissions</v>
      </c>
      <c r="AR344" s="836" cm="1">
        <f t="array" ref="AR344">INDEX('Talnagögn | Numerical Data'!$1:$1048576,_xlfn.XMATCH($B344,'Talnagögn | Numerical Data'!$B:$B),_xlfn.XMATCH($B$4,'Talnagögn | Numerical Data'!$1:$1))-INDEX('Talnagögn | Numerical Data'!$1:$1048576,_xlfn.XMATCH($A344,'Talnagögn | Numerical Data'!$A:$A),_xlfn.XMATCH($B$2,'Talnagögn | Numerical Data'!$1:$1))</f>
        <v>-56.929721589151434</v>
      </c>
      <c r="AS344" s="840" cm="1">
        <f t="array" ref="AS344">INDEX('Talnagögn | Numerical Data'!$1:$1048576,_xlfn.XMATCH($B344,'Talnagögn | Numerical Data'!$B:$B),_xlfn.XMATCH($B$4,'Talnagögn | Numerical Data'!$1:$1))/INDEX('Talnagögn | Numerical Data'!$1:$1048576,_xlfn.XMATCH($A344,'Talnagögn | Numerical Data'!$A:$A),_xlfn.XMATCH($B$2,'Talnagögn | Numerical Data'!$1:$1))-1</f>
        <v>-0.83787785055893804</v>
      </c>
      <c r="AT344" s="836" cm="1">
        <f t="array" ref="AT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Data'!$A:$A),_xlfn.XMATCH($B$1,'Talnagögn | Numerical Data'!$1:$1))</f>
        <v>-99.130758438812023</v>
      </c>
      <c r="AU344" s="841" cm="1">
        <f t="array" ref="AU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Data'!$A:$A),_xlfn.XMATCH($B$1,'Talnagögn | Numerical Data'!$1:$1))-1</f>
        <v>-0.92660438297666248</v>
      </c>
      <c r="AX344" s="397"/>
      <c r="AY344" s="397"/>
      <c r="AZ344" s="397"/>
      <c r="BA344" s="397"/>
      <c r="BB344" s="397"/>
      <c r="BC344" s="397"/>
    </row>
    <row r="345" spans="1:56" ht="30" customHeight="1" x14ac:dyDescent="0.4">
      <c r="A345" s="50" t="s">
        <v>43</v>
      </c>
      <c r="B345" s="50" t="s">
        <v>267</v>
      </c>
      <c r="C345" s="50" t="s">
        <v>274</v>
      </c>
      <c r="D345" s="245" t="s">
        <v>48</v>
      </c>
      <c r="E345" s="822" t="s">
        <v>12</v>
      </c>
      <c r="F345" s="823" cm="1">
        <f t="array" ref="F345">INDEX('Talnagögn | Numerical Data'!$1:$1048576,_xlfn.XMATCH($A345,'Talnagögn | Numerical Data'!$A:$A),_xlfn.XMATCH($A$1,'Talnagögn | Numerical Data'!$1:$1))</f>
        <v>2006.593431936052</v>
      </c>
      <c r="G345" s="824">
        <f>F345/$F$345</f>
        <v>1</v>
      </c>
      <c r="H345" s="823" cm="1">
        <f t="array" ref="H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Data'!$A:$A),_xlfn.XMATCH($B$3,'Talnagögn | Numerical Data'!$1:$1))</f>
        <v>60.68956644342029</v>
      </c>
      <c r="I345" s="825" cm="1">
        <f t="array" ref="I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Data'!$A:$A),_xlfn.XMATCH($B$3,'Talnagögn | Numerical Data'!$1:$1))-1</f>
        <v>3.1188368305160807E-2</v>
      </c>
      <c r="J345" s="826" cm="1">
        <f t="array" ref="J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Data'!$A:$A),_xlfn.XMATCH($B$2,'Talnagögn | Numerical Data'!$1:$1))</f>
        <v>1056.7222403030805</v>
      </c>
      <c r="K345" s="824" cm="1">
        <f t="array" ref="K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Data'!$A:$A),_xlfn.XMATCH($B$2,'Talnagögn | Numerical Data'!$1:$1))-1</f>
        <v>1.1124900403458033</v>
      </c>
      <c r="L345" s="823" cm="1">
        <f t="array" ref="L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Data'!$A:$A),_xlfn.XMATCH($B$1,'Talnagögn | Numerical Data'!$1:$1))</f>
        <v>1105.0294082598223</v>
      </c>
      <c r="M345" s="827" cm="1">
        <f t="array" ref="M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Data'!$A:$A),_xlfn.XMATCH($B$1,'Talnagögn | Numerical Data'!$1:$1))-1</f>
        <v>1.225680461110171</v>
      </c>
      <c r="O345" s="822" t="s">
        <v>12</v>
      </c>
      <c r="P345" s="823" cm="1">
        <f t="array" ref="P345">INDEX('Talnagögn | Numerical Data'!$1:$1048576,_xlfn.XMATCH($B345,'Talnagögn | Numerical Data'!$B:$B),_xlfn.XMATCH($B$4,'Talnagögn | Numerical Data'!$1:$1))-INDEX('Talnagögn | Numerical Data'!$1:$1048576,_xlfn.XMATCH($A345,'Talnagögn | Numerical Data'!$A:$A),_xlfn.XMATCH($B$2,'Talnagögn | Numerical Data'!$1:$1))</f>
        <v>1021.8019936802027</v>
      </c>
      <c r="Q345" s="824" cm="1">
        <f t="array" ref="Q345">INDEX('Talnagögn | Numerical Data'!$1:$1048576,_xlfn.XMATCH($B345,'Talnagögn | Numerical Data'!$B:$B),_xlfn.XMATCH($B$4,'Talnagögn | Numerical Data'!$1:$1))/INDEX('Talnagögn | Numerical Data'!$1:$1048576,_xlfn.XMATCH($A345,'Talnagögn | Numerical Data'!$A:$A),_xlfn.XMATCH($B$2,'Talnagögn | Numerical Data'!$1:$1))-1</f>
        <v>1.0757269013744604</v>
      </c>
      <c r="R345" s="823" cm="1">
        <f t="array" ref="R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Data'!$A:$A),_xlfn.XMATCH($B$1,'Talnagögn | Numerical Data'!$1:$1))</f>
        <v>1047.964108647358</v>
      </c>
      <c r="S345" s="827" cm="1">
        <f t="array" ref="S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Data'!$A:$A),_xlfn.XMATCH($B$1,'Talnagögn | Numerical Data'!$1:$1))-1</f>
        <v>1.1623845685125782</v>
      </c>
      <c r="T345" s="397"/>
      <c r="U345" s="397"/>
      <c r="V345" s="397"/>
      <c r="W345" s="397"/>
      <c r="X345" s="397"/>
      <c r="Y345" s="397"/>
      <c r="Z345" s="397"/>
      <c r="AA345" s="397"/>
      <c r="AB345" s="397"/>
      <c r="AC345" s="397"/>
      <c r="AG345" s="822" t="s">
        <v>164</v>
      </c>
      <c r="AH345" s="823" cm="1">
        <f t="array" ref="AH345">INDEX('Talnagögn | Numerical Data'!$1:$1048576,_xlfn.XMATCH($A345,'Talnagögn | Numerical Data'!$A:$A),_xlfn.XMATCH($A$1,'Talnagögn | Numerical Data'!$1:$1))</f>
        <v>2006.593431936052</v>
      </c>
      <c r="AI345" s="824">
        <f>AH345/$F$345</f>
        <v>1</v>
      </c>
      <c r="AJ345" s="823" cm="1">
        <f t="array" ref="AJ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Data'!$A:$A),_xlfn.XMATCH($B$3,'Talnagögn | Numerical Data'!$1:$1))</f>
        <v>60.68956644342029</v>
      </c>
      <c r="AK345" s="825" cm="1">
        <f t="array" ref="AK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Data'!$A:$A),_xlfn.XMATCH($B$3,'Talnagögn | Numerical Data'!$1:$1))-1</f>
        <v>3.1188368305160807E-2</v>
      </c>
      <c r="AL345" s="826" cm="1">
        <f t="array" ref="AL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Data'!$A:$A),_xlfn.XMATCH($B$2,'Talnagögn | Numerical Data'!$1:$1))</f>
        <v>1056.7222403030805</v>
      </c>
      <c r="AM345" s="824" cm="1">
        <f t="array" ref="AM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Data'!$A:$A),_xlfn.XMATCH($B$2,'Talnagögn | Numerical Data'!$1:$1))-1</f>
        <v>1.1124900403458033</v>
      </c>
      <c r="AN345" s="823" cm="1">
        <f t="array" ref="AN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Data'!$A:$A),_xlfn.XMATCH($B$1,'Talnagögn | Numerical Data'!$1:$1))</f>
        <v>1105.0294082598223</v>
      </c>
      <c r="AO345" s="827" cm="1">
        <f t="array" ref="AO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Data'!$A:$A),_xlfn.XMATCH($B$1,'Talnagögn | Numerical Data'!$1:$1))-1</f>
        <v>1.225680461110171</v>
      </c>
      <c r="AQ345" s="822" t="s">
        <v>12</v>
      </c>
      <c r="AR345" s="823" cm="1">
        <f t="array" ref="AR345">INDEX('Talnagögn | Numerical Data'!$1:$1048576,_xlfn.XMATCH($B345,'Talnagögn | Numerical Data'!$B:$B),_xlfn.XMATCH($B$4,'Talnagögn | Numerical Data'!$1:$1))-INDEX('Talnagögn | Numerical Data'!$1:$1048576,_xlfn.XMATCH($A345,'Talnagögn | Numerical Data'!$A:$A),_xlfn.XMATCH($B$2,'Talnagögn | Numerical Data'!$1:$1))</f>
        <v>1021.8019936802027</v>
      </c>
      <c r="AS345" s="824" cm="1">
        <f t="array" ref="AS345">INDEX('Talnagögn | Numerical Data'!$1:$1048576,_xlfn.XMATCH($B345,'Talnagögn | Numerical Data'!$B:$B),_xlfn.XMATCH($B$4,'Talnagögn | Numerical Data'!$1:$1))/INDEX('Talnagögn | Numerical Data'!$1:$1048576,_xlfn.XMATCH($A345,'Talnagögn | Numerical Data'!$A:$A),_xlfn.XMATCH($B$2,'Talnagögn | Numerical Data'!$1:$1))-1</f>
        <v>1.0757269013744604</v>
      </c>
      <c r="AT345" s="823" cm="1">
        <f t="array" ref="AT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Data'!$A:$A),_xlfn.XMATCH($B$1,'Talnagögn | Numerical Data'!$1:$1))</f>
        <v>1047.964108647358</v>
      </c>
      <c r="AU345" s="827" cm="1">
        <f t="array" ref="AU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Data'!$A:$A),_xlfn.XMATCH($B$1,'Talnagögn | Numerical Data'!$1:$1))-1</f>
        <v>1.1623845685125782</v>
      </c>
      <c r="AX345" s="397"/>
      <c r="AY345" s="397"/>
      <c r="AZ345" s="397"/>
      <c r="BA345" s="397"/>
      <c r="BB345" s="397"/>
      <c r="BC345" s="397"/>
    </row>
    <row r="346" spans="1:56" s="40" customFormat="1" x14ac:dyDescent="0.4">
      <c r="A346" s="1035" t="str">
        <f>"IÐNAÐUR OG VÖRUNOTKUN "&amp;$A$1</f>
        <v>IÐNAÐUR OG VÖRUNOTKUN 2024</v>
      </c>
      <c r="B346" s="1035" t="str">
        <f>"INDUSTRY AND PRODUCT USE "&amp;$A$1</f>
        <v>INDUSTRY AND PRODUCT USE 2024</v>
      </c>
      <c r="C346" s="1038" t="s">
        <v>48</v>
      </c>
      <c r="D346" s="245" t="s">
        <v>48</v>
      </c>
      <c r="F346" s="397"/>
      <c r="G346" s="397"/>
      <c r="H346" s="240"/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  <c r="S346" s="397"/>
      <c r="T346" s="397"/>
      <c r="U346" s="397"/>
      <c r="V346" s="397"/>
      <c r="W346" s="397"/>
      <c r="X346" s="397"/>
      <c r="Y346" s="397"/>
      <c r="Z346" s="397"/>
      <c r="AA346" s="397"/>
      <c r="AB346" s="397"/>
      <c r="AC346" s="397"/>
      <c r="AD346" s="762"/>
      <c r="AH346" s="397"/>
      <c r="AI346" s="397"/>
      <c r="AJ346" s="397"/>
      <c r="AK346" s="397"/>
      <c r="AL346" s="397"/>
      <c r="AM346" s="397"/>
      <c r="AO346" s="397"/>
      <c r="AP346" s="397"/>
      <c r="AQ346" s="397"/>
      <c r="AR346" s="397"/>
      <c r="AS346" s="397"/>
      <c r="AT346" s="397"/>
      <c r="AU346" s="397"/>
      <c r="AV346" s="397"/>
      <c r="AW346" s="397"/>
      <c r="AX346" s="397"/>
      <c r="AY346" s="397"/>
      <c r="AZ346" s="397"/>
      <c r="BA346" s="397"/>
      <c r="BB346" s="397"/>
      <c r="BC346" s="397"/>
    </row>
    <row r="347" spans="1:56" s="40" customFormat="1" x14ac:dyDescent="0.4">
      <c r="A347" s="50"/>
      <c r="B347" s="1038" t="s">
        <v>48</v>
      </c>
      <c r="C347" s="1038"/>
      <c r="D347" s="245" t="s">
        <v>48</v>
      </c>
      <c r="F347" s="397"/>
      <c r="G347" s="397"/>
      <c r="H347" s="240"/>
      <c r="I347" s="397"/>
      <c r="J347" s="397"/>
      <c r="K347" s="397"/>
      <c r="L347" s="397"/>
      <c r="M347" s="397"/>
      <c r="N347" s="397"/>
      <c r="O347" s="397"/>
      <c r="P347" s="397"/>
      <c r="Q347" s="397"/>
      <c r="R347" s="397"/>
      <c r="S347" s="397"/>
      <c r="T347" s="397"/>
      <c r="U347" s="397"/>
      <c r="V347" s="397"/>
      <c r="W347" s="397"/>
      <c r="X347" s="397"/>
      <c r="Y347" s="397"/>
      <c r="Z347" s="397"/>
      <c r="AA347" s="397"/>
      <c r="AB347" s="397"/>
      <c r="AC347" s="397"/>
      <c r="AD347" s="762"/>
      <c r="AH347" s="397"/>
      <c r="AI347" s="397"/>
      <c r="AJ347" s="397"/>
      <c r="AK347" s="397"/>
      <c r="AL347" s="397"/>
      <c r="AM347" s="397"/>
      <c r="AN347" s="397"/>
      <c r="AO347" s="397"/>
      <c r="AP347" s="397"/>
      <c r="AQ347" s="397"/>
      <c r="AR347" s="397"/>
      <c r="AS347" s="397"/>
      <c r="AT347" s="397"/>
      <c r="AU347" s="397"/>
      <c r="AV347" s="397"/>
      <c r="AW347" s="397"/>
      <c r="AX347" s="397"/>
      <c r="AY347" s="397"/>
      <c r="AZ347" s="397"/>
      <c r="BA347" s="397"/>
      <c r="BB347" s="397"/>
      <c r="BC347" s="397"/>
    </row>
    <row r="348" spans="1:56" s="40" customFormat="1" x14ac:dyDescent="0.4">
      <c r="A348" s="50"/>
      <c r="B348" s="1038"/>
      <c r="C348" s="1038"/>
      <c r="D348" s="245" t="s">
        <v>48</v>
      </c>
      <c r="F348" s="397"/>
      <c r="G348" s="397"/>
      <c r="H348" s="240"/>
      <c r="I348" s="397"/>
      <c r="J348" s="397"/>
      <c r="K348" s="397"/>
      <c r="L348" s="397"/>
      <c r="M348" s="397"/>
      <c r="N348" s="397"/>
      <c r="O348" s="397"/>
      <c r="P348" s="397"/>
      <c r="Q348" s="397"/>
      <c r="R348" s="397"/>
      <c r="S348" s="397"/>
      <c r="T348" s="397"/>
      <c r="U348" s="397"/>
      <c r="V348" s="397"/>
      <c r="W348" s="397"/>
      <c r="X348" s="397"/>
      <c r="Y348" s="397"/>
      <c r="Z348" s="397"/>
      <c r="AA348" s="397"/>
      <c r="AB348" s="397"/>
      <c r="AC348" s="397"/>
      <c r="AD348" s="762"/>
      <c r="AH348" s="397"/>
      <c r="AI348" s="397"/>
      <c r="AJ348" s="397"/>
      <c r="AK348" s="397"/>
      <c r="AL348" s="397"/>
      <c r="AM348" s="397"/>
      <c r="AN348" s="397"/>
      <c r="AO348" s="397"/>
      <c r="AP348" s="397"/>
      <c r="AQ348" s="397"/>
      <c r="AR348" s="397"/>
      <c r="AS348" s="397"/>
      <c r="AT348" s="397"/>
      <c r="AU348" s="397"/>
      <c r="AV348" s="397"/>
      <c r="AW348" s="397"/>
      <c r="AX348" s="397"/>
      <c r="AY348" s="397"/>
      <c r="AZ348" s="397"/>
      <c r="BA348" s="397"/>
      <c r="BB348" s="397"/>
      <c r="BC348" s="397"/>
    </row>
    <row r="349" spans="1:56" s="40" customFormat="1" x14ac:dyDescent="0.4">
      <c r="A349" s="50"/>
      <c r="B349" s="1038"/>
      <c r="C349" s="1038"/>
      <c r="D349" s="245" t="s">
        <v>48</v>
      </c>
      <c r="F349" s="397"/>
      <c r="G349" s="397"/>
      <c r="H349" s="240"/>
      <c r="I349" s="397"/>
      <c r="J349" s="397"/>
      <c r="K349" s="397"/>
      <c r="L349" s="397"/>
      <c r="M349" s="397"/>
      <c r="N349" s="397"/>
      <c r="O349" s="397"/>
      <c r="P349" s="397"/>
      <c r="Q349" s="397"/>
      <c r="R349" s="397"/>
      <c r="S349" s="397"/>
      <c r="T349" s="397"/>
      <c r="U349" s="397"/>
      <c r="V349" s="397"/>
      <c r="W349" s="397"/>
      <c r="X349" s="397"/>
      <c r="Y349" s="397"/>
      <c r="Z349" s="397"/>
      <c r="AA349" s="397"/>
      <c r="AB349" s="397"/>
      <c r="AC349" s="397"/>
      <c r="AD349" s="762"/>
      <c r="AH349" s="397"/>
      <c r="AI349" s="397"/>
      <c r="AJ349" s="397"/>
      <c r="AK349" s="397"/>
      <c r="AL349" s="397"/>
      <c r="AM349" s="397"/>
      <c r="AN349" s="397"/>
      <c r="AO349" s="397"/>
      <c r="AP349" s="397"/>
      <c r="AQ349" s="397"/>
      <c r="AR349" s="397"/>
      <c r="AS349" s="397"/>
      <c r="AT349" s="397"/>
      <c r="AU349" s="397"/>
      <c r="AV349" s="397"/>
      <c r="AW349" s="397"/>
      <c r="AX349" s="397"/>
      <c r="AY349" s="397"/>
      <c r="AZ349" s="397"/>
      <c r="BA349" s="397"/>
      <c r="BB349" s="397"/>
      <c r="BC349" s="397"/>
    </row>
    <row r="350" spans="1:56" s="40" customFormat="1" x14ac:dyDescent="0.4">
      <c r="A350" s="50"/>
      <c r="B350" s="1038"/>
      <c r="C350" s="1038"/>
      <c r="D350" s="245" t="s">
        <v>48</v>
      </c>
      <c r="F350" s="397"/>
      <c r="G350" s="397"/>
      <c r="H350" s="240"/>
      <c r="I350" s="397"/>
      <c r="J350" s="397"/>
      <c r="K350" s="397"/>
      <c r="L350" s="397"/>
      <c r="M350" s="397"/>
      <c r="N350" s="397"/>
      <c r="O350" s="397"/>
      <c r="P350" s="397"/>
      <c r="Q350" s="397"/>
      <c r="R350" s="397"/>
      <c r="S350" s="397"/>
      <c r="T350" s="397"/>
      <c r="U350" s="397"/>
      <c r="V350" s="397"/>
      <c r="W350" s="397"/>
      <c r="X350" s="397"/>
      <c r="Y350" s="397"/>
      <c r="Z350" s="397"/>
      <c r="AA350" s="397"/>
      <c r="AB350" s="397"/>
      <c r="AC350" s="397"/>
      <c r="AD350" s="762"/>
      <c r="AH350" s="397"/>
      <c r="AI350" s="397"/>
      <c r="AJ350" s="397"/>
      <c r="AK350" s="397"/>
      <c r="AL350" s="397"/>
      <c r="AM350" s="397"/>
      <c r="AN350" s="397"/>
      <c r="AO350" s="397"/>
      <c r="AP350" s="397"/>
      <c r="AQ350" s="397"/>
      <c r="AR350" s="397"/>
      <c r="AS350" s="397"/>
      <c r="AT350" s="397"/>
      <c r="AU350" s="397"/>
      <c r="AV350" s="397"/>
      <c r="AW350" s="397"/>
      <c r="AX350" s="397"/>
      <c r="AY350" s="397"/>
      <c r="AZ350" s="397"/>
      <c r="BA350" s="397"/>
      <c r="BB350" s="397"/>
      <c r="BC350" s="397"/>
    </row>
    <row r="351" spans="1:56" s="40" customFormat="1" x14ac:dyDescent="0.4">
      <c r="A351" s="50"/>
      <c r="B351" s="1038"/>
      <c r="C351" s="1038"/>
      <c r="D351" s="245" t="s">
        <v>48</v>
      </c>
      <c r="F351" s="397"/>
      <c r="G351" s="397"/>
      <c r="H351" s="240"/>
      <c r="I351" s="397"/>
      <c r="J351" s="397"/>
      <c r="K351" s="397"/>
      <c r="L351" s="397"/>
      <c r="M351" s="397"/>
      <c r="N351" s="397"/>
      <c r="O351" s="397"/>
      <c r="P351" s="397"/>
      <c r="Q351" s="397"/>
      <c r="R351" s="397"/>
      <c r="S351" s="397"/>
      <c r="T351" s="397"/>
      <c r="U351" s="397"/>
      <c r="V351" s="397"/>
      <c r="W351" s="397"/>
      <c r="X351" s="397"/>
      <c r="Y351" s="397"/>
      <c r="Z351" s="397"/>
      <c r="AA351" s="397"/>
      <c r="AB351" s="397"/>
      <c r="AC351" s="397"/>
      <c r="AD351" s="762"/>
      <c r="AH351" s="397"/>
      <c r="AI351" s="397"/>
      <c r="AJ351" s="397"/>
      <c r="AK351" s="397"/>
      <c r="AL351" s="397"/>
      <c r="AM351" s="397"/>
      <c r="AN351" s="397"/>
      <c r="AO351" s="397"/>
      <c r="AP351" s="397"/>
      <c r="AQ351" s="397"/>
      <c r="AR351" s="397"/>
      <c r="AS351" s="397"/>
      <c r="AT351" s="397"/>
      <c r="AU351" s="397"/>
      <c r="AV351" s="397"/>
      <c r="AW351" s="397"/>
      <c r="AX351" s="397"/>
      <c r="AY351" s="397"/>
      <c r="AZ351" s="397"/>
      <c r="BA351" s="397"/>
      <c r="BB351" s="397"/>
      <c r="BC351" s="397"/>
    </row>
    <row r="352" spans="1:56" s="40" customFormat="1" x14ac:dyDescent="0.4">
      <c r="A352" s="50"/>
      <c r="B352" s="1038"/>
      <c r="C352" s="1038"/>
      <c r="D352" s="245" t="s">
        <v>48</v>
      </c>
      <c r="F352" s="397"/>
      <c r="G352" s="397"/>
      <c r="H352" s="240"/>
      <c r="I352" s="397"/>
      <c r="J352" s="397"/>
      <c r="K352" s="397"/>
      <c r="L352" s="397"/>
      <c r="M352" s="397"/>
      <c r="N352" s="397"/>
      <c r="O352" s="397"/>
      <c r="P352" s="397"/>
      <c r="Q352" s="397"/>
      <c r="R352" s="397"/>
      <c r="S352" s="397"/>
      <c r="T352" s="397"/>
      <c r="U352" s="397"/>
      <c r="V352" s="397"/>
      <c r="W352" s="397"/>
      <c r="X352" s="397"/>
      <c r="Y352" s="397"/>
      <c r="Z352" s="397"/>
      <c r="AA352" s="397"/>
      <c r="AB352" s="397"/>
      <c r="AC352" s="397"/>
      <c r="AD352" s="762"/>
      <c r="AH352" s="397"/>
      <c r="AI352" s="397"/>
      <c r="AJ352" s="397"/>
      <c r="AK352" s="397"/>
      <c r="AL352" s="397"/>
      <c r="AM352" s="397"/>
      <c r="AN352" s="397"/>
      <c r="AO352" s="397"/>
      <c r="AP352" s="397"/>
      <c r="AQ352" s="397"/>
      <c r="AR352" s="397"/>
      <c r="AS352" s="397"/>
      <c r="AT352" s="397"/>
      <c r="AU352" s="397"/>
      <c r="AV352" s="397"/>
      <c r="AW352" s="397"/>
      <c r="AX352" s="397"/>
      <c r="AY352" s="397"/>
      <c r="AZ352" s="397"/>
      <c r="BA352" s="397"/>
      <c r="BB352" s="397"/>
      <c r="BC352" s="397"/>
    </row>
    <row r="353" spans="1:55" s="40" customFormat="1" x14ac:dyDescent="0.4">
      <c r="A353" s="50"/>
      <c r="B353" s="1038"/>
      <c r="C353" s="1038"/>
      <c r="D353" s="245" t="s">
        <v>48</v>
      </c>
      <c r="F353" s="397"/>
      <c r="G353" s="397"/>
      <c r="H353" s="240"/>
      <c r="I353" s="397"/>
      <c r="J353" s="397"/>
      <c r="K353" s="397"/>
      <c r="L353" s="397"/>
      <c r="M353" s="397"/>
      <c r="N353" s="397"/>
      <c r="O353" s="397"/>
      <c r="P353" s="397"/>
      <c r="Q353" s="397"/>
      <c r="R353" s="397"/>
      <c r="S353" s="397"/>
      <c r="T353" s="397"/>
      <c r="U353" s="397"/>
      <c r="V353" s="397"/>
      <c r="W353" s="397"/>
      <c r="X353" s="397"/>
      <c r="Y353" s="397"/>
      <c r="Z353" s="397"/>
      <c r="AA353" s="397"/>
      <c r="AB353" s="397"/>
      <c r="AC353" s="397"/>
      <c r="AD353" s="762"/>
      <c r="AH353" s="397"/>
      <c r="AI353" s="397"/>
      <c r="AJ353" s="397"/>
      <c r="AK353" s="397"/>
      <c r="AL353" s="397"/>
      <c r="AM353" s="397"/>
      <c r="AN353" s="397"/>
      <c r="AO353" s="397"/>
      <c r="AP353" s="397"/>
      <c r="AQ353" s="397"/>
      <c r="AR353" s="397"/>
      <c r="AS353" s="397"/>
      <c r="AT353" s="397"/>
      <c r="AU353" s="397"/>
      <c r="AV353" s="397"/>
      <c r="AW353" s="397"/>
      <c r="AX353" s="397"/>
      <c r="AY353" s="397"/>
      <c r="AZ353" s="397"/>
      <c r="BA353" s="397"/>
      <c r="BB353" s="397"/>
      <c r="BC353" s="397"/>
    </row>
    <row r="354" spans="1:55" s="40" customFormat="1" x14ac:dyDescent="0.4">
      <c r="A354" s="50"/>
      <c r="B354" s="1038"/>
      <c r="C354" s="1038"/>
      <c r="D354" s="245" t="s">
        <v>48</v>
      </c>
      <c r="F354" s="397"/>
      <c r="G354" s="397"/>
      <c r="H354" s="240"/>
      <c r="I354" s="397"/>
      <c r="J354" s="397"/>
      <c r="K354" s="397"/>
      <c r="L354" s="397"/>
      <c r="M354" s="397"/>
      <c r="N354" s="397"/>
      <c r="O354" s="397"/>
      <c r="P354" s="397"/>
      <c r="Q354" s="397"/>
      <c r="R354" s="397"/>
      <c r="S354" s="397"/>
      <c r="T354" s="397"/>
      <c r="U354" s="397"/>
      <c r="V354" s="397"/>
      <c r="W354" s="397"/>
      <c r="X354" s="397"/>
      <c r="Y354" s="397"/>
      <c r="Z354" s="397"/>
      <c r="AA354" s="397"/>
      <c r="AB354" s="397"/>
      <c r="AC354" s="397"/>
      <c r="AD354" s="762"/>
      <c r="AH354" s="397"/>
      <c r="AI354" s="397"/>
      <c r="AJ354" s="397"/>
      <c r="AK354" s="397"/>
      <c r="AL354" s="397"/>
      <c r="AM354" s="397"/>
      <c r="AN354" s="397"/>
      <c r="AO354" s="397"/>
      <c r="AP354" s="397"/>
      <c r="AQ354" s="397"/>
      <c r="AR354" s="397"/>
      <c r="AS354" s="397"/>
      <c r="AT354" s="397"/>
      <c r="AU354" s="397"/>
      <c r="AV354" s="397"/>
      <c r="AW354" s="397"/>
      <c r="AX354" s="397"/>
      <c r="AY354" s="397"/>
      <c r="AZ354" s="397"/>
      <c r="BA354" s="397"/>
      <c r="BB354" s="397"/>
      <c r="BC354" s="397"/>
    </row>
    <row r="355" spans="1:55" s="40" customFormat="1" x14ac:dyDescent="0.4">
      <c r="A355" s="50"/>
      <c r="B355" s="1038"/>
      <c r="C355" s="1038"/>
      <c r="D355" s="245" t="s">
        <v>48</v>
      </c>
      <c r="F355" s="397"/>
      <c r="G355" s="397"/>
      <c r="H355" s="240"/>
      <c r="I355" s="397"/>
      <c r="J355" s="397"/>
      <c r="K355" s="397"/>
      <c r="L355" s="397"/>
      <c r="M355" s="397"/>
      <c r="N355" s="397"/>
      <c r="O355" s="397"/>
      <c r="P355" s="397"/>
      <c r="Q355" s="397"/>
      <c r="R355" s="397"/>
      <c r="S355" s="397"/>
      <c r="T355" s="397"/>
      <c r="U355" s="397"/>
      <c r="V355" s="397"/>
      <c r="W355" s="397"/>
      <c r="X355" s="397"/>
      <c r="Y355" s="397"/>
      <c r="Z355" s="397"/>
      <c r="AA355" s="397"/>
      <c r="AB355" s="397"/>
      <c r="AC355" s="397"/>
      <c r="AD355" s="762"/>
      <c r="AH355" s="397"/>
      <c r="AI355" s="397"/>
      <c r="AJ355" s="397"/>
      <c r="AK355" s="397"/>
      <c r="AL355" s="397"/>
      <c r="AM355" s="397"/>
      <c r="AN355" s="397"/>
      <c r="AO355" s="397"/>
      <c r="AP355" s="397"/>
      <c r="AQ355" s="397"/>
      <c r="AR355" s="397"/>
      <c r="AS355" s="397"/>
      <c r="AT355" s="397"/>
      <c r="AU355" s="397"/>
      <c r="AV355" s="397"/>
      <c r="AW355" s="397"/>
      <c r="AX355" s="397"/>
      <c r="AY355" s="397"/>
      <c r="AZ355" s="397"/>
      <c r="BA355" s="397"/>
      <c r="BB355" s="397"/>
      <c r="BC355" s="397"/>
    </row>
    <row r="356" spans="1:55" s="40" customFormat="1" ht="15" customHeight="1" x14ac:dyDescent="0.4">
      <c r="A356" s="50"/>
      <c r="B356" s="1038"/>
      <c r="C356" s="1038"/>
      <c r="D356" s="245" t="s">
        <v>48</v>
      </c>
      <c r="F356" s="397"/>
      <c r="G356" s="397"/>
      <c r="H356" s="240"/>
      <c r="I356" s="397"/>
      <c r="J356" s="397"/>
      <c r="K356" s="397"/>
      <c r="L356" s="397"/>
      <c r="M356" s="397"/>
      <c r="N356" s="397"/>
      <c r="O356" s="397"/>
      <c r="P356" s="397"/>
      <c r="Q356" s="397"/>
      <c r="R356" s="397"/>
      <c r="S356" s="397"/>
      <c r="T356" s="397"/>
      <c r="U356" s="397"/>
      <c r="V356" s="397"/>
      <c r="W356" s="397"/>
      <c r="X356" s="397"/>
      <c r="Y356" s="397"/>
      <c r="Z356" s="397"/>
      <c r="AA356" s="397"/>
      <c r="AB356" s="397"/>
      <c r="AC356" s="397"/>
      <c r="AD356" s="762"/>
      <c r="AH356" s="397"/>
      <c r="AI356" s="397"/>
      <c r="AJ356" s="397"/>
      <c r="AK356" s="397"/>
      <c r="AL356" s="397"/>
      <c r="AM356" s="397"/>
      <c r="AN356" s="397"/>
      <c r="AO356" s="397"/>
      <c r="AP356" s="397"/>
      <c r="AQ356" s="397"/>
      <c r="AR356" s="397"/>
      <c r="AS356" s="397"/>
      <c r="AT356" s="397"/>
      <c r="AU356" s="397"/>
      <c r="AV356" s="397"/>
      <c r="AW356" s="397"/>
      <c r="AX356" s="397"/>
      <c r="AY356" s="397"/>
      <c r="AZ356" s="397"/>
      <c r="BA356" s="397"/>
      <c r="BB356" s="397"/>
      <c r="BC356" s="397"/>
    </row>
    <row r="357" spans="1:55" s="40" customFormat="1" ht="15" customHeight="1" x14ac:dyDescent="0.4">
      <c r="A357" s="50"/>
      <c r="B357" s="1038"/>
      <c r="C357" s="1038"/>
      <c r="D357" s="245" t="s">
        <v>48</v>
      </c>
      <c r="F357" s="397"/>
      <c r="G357" s="397"/>
      <c r="H357" s="240"/>
      <c r="I357" s="397"/>
      <c r="J357" s="397"/>
      <c r="K357" s="397"/>
      <c r="L357" s="397"/>
      <c r="M357" s="397"/>
      <c r="N357" s="397"/>
      <c r="O357" s="397"/>
      <c r="P357" s="397"/>
      <c r="Q357" s="397"/>
      <c r="R357" s="397"/>
      <c r="S357" s="397"/>
      <c r="T357" s="397"/>
      <c r="U357" s="397"/>
      <c r="V357" s="397"/>
      <c r="W357" s="397"/>
      <c r="X357" s="397"/>
      <c r="Y357" s="397"/>
      <c r="Z357" s="397"/>
      <c r="AA357" s="397"/>
      <c r="AB357" s="397"/>
      <c r="AC357" s="397"/>
      <c r="AD357" s="762"/>
      <c r="AH357" s="397"/>
      <c r="AI357" s="397"/>
      <c r="AJ357" s="397"/>
      <c r="AK357" s="397"/>
      <c r="AL357" s="397"/>
      <c r="AM357" s="397"/>
      <c r="AN357" s="397"/>
      <c r="AO357" s="397"/>
      <c r="AP357" s="397"/>
      <c r="AQ357" s="397"/>
      <c r="AR357" s="397"/>
      <c r="AS357" s="397"/>
      <c r="AT357" s="397"/>
      <c r="AU357" s="397"/>
      <c r="AV357" s="397"/>
      <c r="AW357" s="397"/>
      <c r="AX357" s="397"/>
      <c r="AY357" s="397"/>
      <c r="AZ357" s="397"/>
      <c r="BA357" s="397"/>
      <c r="BB357" s="397"/>
      <c r="BC357" s="397"/>
    </row>
    <row r="358" spans="1:55" s="40" customFormat="1" ht="15" customHeight="1" x14ac:dyDescent="0.4">
      <c r="A358" s="50"/>
      <c r="B358" s="1038"/>
      <c r="C358" s="1038"/>
      <c r="D358" s="245" t="s">
        <v>48</v>
      </c>
      <c r="F358" s="397"/>
      <c r="G358" s="397"/>
      <c r="H358" s="240"/>
      <c r="I358" s="397"/>
      <c r="J358" s="397"/>
      <c r="K358" s="397"/>
      <c r="L358" s="397"/>
      <c r="M358" s="397"/>
      <c r="N358" s="397"/>
      <c r="O358" s="397"/>
      <c r="P358" s="397"/>
      <c r="Q358" s="397"/>
      <c r="R358" s="397"/>
      <c r="S358" s="397"/>
      <c r="T358" s="397"/>
      <c r="U358" s="397"/>
      <c r="V358" s="397"/>
      <c r="W358" s="397"/>
      <c r="X358" s="397"/>
      <c r="Y358" s="397"/>
      <c r="Z358" s="397"/>
      <c r="AA358" s="397"/>
      <c r="AB358" s="397"/>
      <c r="AC358" s="397"/>
      <c r="AD358" s="762"/>
      <c r="AH358" s="397"/>
      <c r="AI358" s="397"/>
      <c r="AJ358" s="397"/>
      <c r="AK358" s="397"/>
      <c r="AL358" s="397"/>
      <c r="AM358" s="397"/>
      <c r="AN358" s="397"/>
      <c r="AO358" s="397"/>
      <c r="AP358" s="397"/>
      <c r="AQ358" s="397"/>
      <c r="AR358" s="397"/>
      <c r="AS358" s="397"/>
      <c r="AT358" s="397"/>
      <c r="AU358" s="397"/>
      <c r="AV358" s="397"/>
      <c r="AW358" s="397"/>
      <c r="AX358" s="397"/>
      <c r="AY358" s="397"/>
      <c r="AZ358" s="397"/>
      <c r="BA358" s="397"/>
      <c r="BB358" s="397"/>
      <c r="BC358" s="397"/>
    </row>
    <row r="359" spans="1:55" s="40" customFormat="1" x14ac:dyDescent="0.4">
      <c r="A359" s="50"/>
      <c r="B359" s="1038"/>
      <c r="C359" s="1038"/>
      <c r="D359" s="245" t="s">
        <v>48</v>
      </c>
      <c r="F359" s="397"/>
      <c r="G359" s="397"/>
      <c r="H359" s="240"/>
      <c r="I359" s="397"/>
      <c r="J359" s="397"/>
      <c r="K359" s="397"/>
      <c r="L359" s="397"/>
      <c r="M359" s="397"/>
      <c r="N359" s="397"/>
      <c r="O359" s="397"/>
      <c r="P359" s="397"/>
      <c r="Q359" s="397"/>
      <c r="R359" s="397"/>
      <c r="S359" s="397"/>
      <c r="T359" s="397"/>
      <c r="U359" s="397"/>
      <c r="V359" s="397"/>
      <c r="W359" s="397"/>
      <c r="X359" s="397"/>
      <c r="Y359" s="397"/>
      <c r="Z359" s="397"/>
      <c r="AA359" s="397"/>
      <c r="AB359" s="397"/>
      <c r="AC359" s="397"/>
      <c r="AD359" s="762"/>
      <c r="AH359" s="397"/>
      <c r="AI359" s="397"/>
      <c r="AJ359" s="397"/>
      <c r="AK359" s="397"/>
      <c r="AL359" s="397"/>
      <c r="AM359" s="397"/>
      <c r="AN359" s="397"/>
      <c r="AO359" s="397"/>
      <c r="AP359" s="397"/>
      <c r="AQ359" s="397"/>
      <c r="AR359" s="397"/>
      <c r="AS359" s="397"/>
      <c r="AT359" s="397"/>
      <c r="AU359" s="397"/>
      <c r="AV359" s="397"/>
      <c r="AW359" s="397"/>
      <c r="AX359" s="397"/>
      <c r="AY359" s="397"/>
      <c r="AZ359" s="397"/>
      <c r="BA359" s="397"/>
      <c r="BB359" s="397"/>
      <c r="BC359" s="397"/>
    </row>
    <row r="360" spans="1:55" s="40" customFormat="1" x14ac:dyDescent="0.4">
      <c r="A360" s="50"/>
      <c r="B360" s="1038"/>
      <c r="C360" s="1038"/>
      <c r="D360" s="245" t="s">
        <v>48</v>
      </c>
      <c r="F360" s="397"/>
      <c r="G360" s="397"/>
      <c r="H360" s="240"/>
      <c r="I360" s="397"/>
      <c r="J360" s="397"/>
      <c r="K360" s="397"/>
      <c r="L360" s="397"/>
      <c r="M360" s="397"/>
      <c r="N360" s="397"/>
      <c r="O360" s="397"/>
      <c r="P360" s="397"/>
      <c r="Q360" s="397"/>
      <c r="R360" s="397"/>
      <c r="S360" s="397"/>
      <c r="T360" s="397"/>
      <c r="U360" s="397"/>
      <c r="V360" s="397"/>
      <c r="W360" s="397"/>
      <c r="X360" s="397"/>
      <c r="Y360" s="397"/>
      <c r="Z360" s="397"/>
      <c r="AA360" s="397"/>
      <c r="AB360" s="397"/>
      <c r="AC360" s="397"/>
      <c r="AD360" s="762"/>
      <c r="AH360" s="397"/>
      <c r="AI360" s="397"/>
      <c r="AJ360" s="397"/>
      <c r="AK360" s="397"/>
      <c r="AL360" s="397"/>
      <c r="AM360" s="397"/>
      <c r="AN360" s="397"/>
      <c r="AO360" s="397"/>
      <c r="AP360" s="397"/>
      <c r="AQ360" s="397"/>
      <c r="AR360" s="397"/>
      <c r="AS360" s="397"/>
      <c r="AT360" s="397"/>
      <c r="AU360" s="397"/>
      <c r="AV360" s="397"/>
      <c r="AW360" s="397"/>
      <c r="AX360" s="397"/>
      <c r="AY360" s="397"/>
      <c r="AZ360" s="397"/>
      <c r="BA360" s="397"/>
      <c r="BB360" s="397"/>
      <c r="BC360" s="397"/>
    </row>
    <row r="361" spans="1:55" s="40" customFormat="1" x14ac:dyDescent="0.4">
      <c r="A361" s="50"/>
      <c r="B361" s="1038"/>
      <c r="C361" s="1038"/>
      <c r="D361" s="245" t="s">
        <v>48</v>
      </c>
      <c r="F361" s="397"/>
      <c r="G361" s="397"/>
      <c r="H361" s="240"/>
      <c r="I361" s="397"/>
      <c r="J361" s="397"/>
      <c r="K361" s="397"/>
      <c r="L361" s="397"/>
      <c r="M361" s="397"/>
      <c r="N361" s="397"/>
      <c r="O361" s="397"/>
      <c r="P361" s="397"/>
      <c r="Q361" s="397"/>
      <c r="R361" s="397"/>
      <c r="S361" s="397"/>
      <c r="T361" s="397"/>
      <c r="U361" s="397"/>
      <c r="V361" s="397"/>
      <c r="W361" s="397"/>
      <c r="X361" s="397"/>
      <c r="Y361" s="397"/>
      <c r="Z361" s="397"/>
      <c r="AA361" s="397"/>
      <c r="AB361" s="397"/>
      <c r="AC361" s="397"/>
      <c r="AD361" s="762"/>
      <c r="AH361" s="397"/>
      <c r="AI361" s="397"/>
      <c r="AJ361" s="397"/>
      <c r="AK361" s="397"/>
      <c r="AL361" s="397"/>
      <c r="AM361" s="397"/>
      <c r="AN361" s="397"/>
      <c r="AO361" s="397"/>
      <c r="AP361" s="397"/>
      <c r="AQ361" s="397"/>
      <c r="AR361" s="397"/>
      <c r="AS361" s="397"/>
      <c r="AT361" s="397"/>
      <c r="AU361" s="397"/>
      <c r="AV361" s="397"/>
      <c r="AW361" s="397"/>
      <c r="AX361" s="397"/>
      <c r="AY361" s="397"/>
      <c r="AZ361" s="397"/>
      <c r="BA361" s="397"/>
      <c r="BB361" s="397"/>
      <c r="BC361" s="397"/>
    </row>
    <row r="362" spans="1:55" s="40" customFormat="1" x14ac:dyDescent="0.4">
      <c r="A362" s="50"/>
      <c r="B362" s="1038"/>
      <c r="C362" s="1038"/>
      <c r="D362" s="245" t="s">
        <v>48</v>
      </c>
      <c r="F362" s="397"/>
      <c r="G362" s="397"/>
      <c r="H362" s="240"/>
      <c r="I362" s="397"/>
      <c r="J362" s="397"/>
      <c r="K362" s="397"/>
      <c r="L362" s="397"/>
      <c r="M362" s="397"/>
      <c r="N362" s="397"/>
      <c r="O362" s="397"/>
      <c r="P362" s="397"/>
      <c r="Q362" s="397"/>
      <c r="R362" s="397"/>
      <c r="S362" s="397"/>
      <c r="T362" s="397"/>
      <c r="U362" s="397"/>
      <c r="V362" s="397"/>
      <c r="W362" s="397"/>
      <c r="X362" s="397"/>
      <c r="Y362" s="397"/>
      <c r="Z362" s="397"/>
      <c r="AA362" s="397"/>
      <c r="AB362" s="397"/>
      <c r="AC362" s="397"/>
      <c r="AD362" s="762"/>
      <c r="AH362" s="397"/>
      <c r="AI362" s="397"/>
      <c r="AJ362" s="397"/>
      <c r="AK362" s="397"/>
      <c r="AL362" s="397"/>
      <c r="AM362" s="397"/>
      <c r="AN362" s="397"/>
      <c r="AO362" s="397"/>
      <c r="AP362" s="397"/>
      <c r="AQ362" s="397"/>
      <c r="AR362" s="397"/>
      <c r="AS362" s="397"/>
      <c r="AT362" s="397"/>
      <c r="AU362" s="397"/>
      <c r="AV362" s="397"/>
      <c r="AW362" s="397"/>
      <c r="AX362" s="397"/>
      <c r="AY362" s="397"/>
      <c r="AZ362" s="397"/>
      <c r="BA362" s="397"/>
      <c r="BB362" s="397"/>
      <c r="BC362" s="397"/>
    </row>
    <row r="363" spans="1:55" s="40" customFormat="1" x14ac:dyDescent="0.4">
      <c r="A363" s="50"/>
      <c r="B363" s="1038"/>
      <c r="C363" s="1038"/>
      <c r="D363" s="245" t="s">
        <v>48</v>
      </c>
      <c r="F363" s="397"/>
      <c r="G363" s="397"/>
      <c r="H363" s="240"/>
      <c r="I363" s="397"/>
      <c r="J363" s="397"/>
      <c r="K363" s="397"/>
      <c r="L363" s="397"/>
      <c r="M363" s="397"/>
      <c r="N363" s="397"/>
      <c r="O363" s="397"/>
      <c r="P363" s="397"/>
      <c r="Q363" s="397"/>
      <c r="R363" s="397"/>
      <c r="S363" s="397"/>
      <c r="T363" s="397"/>
      <c r="U363" s="397"/>
      <c r="V363" s="397"/>
      <c r="W363" s="397"/>
      <c r="X363" s="397"/>
      <c r="Y363" s="397"/>
      <c r="Z363" s="397"/>
      <c r="AA363" s="397"/>
      <c r="AB363" s="397"/>
      <c r="AC363" s="397"/>
      <c r="AD363" s="762"/>
      <c r="AH363" s="397"/>
      <c r="AI363" s="397"/>
      <c r="AJ363" s="397"/>
      <c r="AK363" s="397"/>
      <c r="AL363" s="397"/>
      <c r="AM363" s="397"/>
      <c r="AN363" s="397"/>
      <c r="AO363" s="397"/>
      <c r="AP363" s="397"/>
      <c r="AQ363" s="397"/>
      <c r="AR363" s="397"/>
      <c r="AS363" s="397"/>
      <c r="AT363" s="397"/>
      <c r="AU363" s="397"/>
      <c r="AV363" s="397"/>
      <c r="AW363" s="397"/>
      <c r="AX363" s="397"/>
      <c r="AY363" s="397"/>
      <c r="AZ363" s="397"/>
      <c r="BA363" s="397"/>
      <c r="BB363" s="397"/>
      <c r="BC363" s="397"/>
    </row>
    <row r="364" spans="1:55" s="40" customFormat="1" x14ac:dyDescent="0.4">
      <c r="A364" s="50"/>
      <c r="B364" s="1038"/>
      <c r="C364" s="1038"/>
      <c r="D364" s="245" t="s">
        <v>48</v>
      </c>
      <c r="F364" s="397"/>
      <c r="G364" s="397"/>
      <c r="H364" s="240"/>
      <c r="I364" s="397"/>
      <c r="J364" s="397"/>
      <c r="K364" s="397"/>
      <c r="L364" s="397"/>
      <c r="M364" s="397"/>
      <c r="N364" s="397"/>
      <c r="O364" s="397"/>
      <c r="P364" s="397"/>
      <c r="Q364" s="397"/>
      <c r="R364" s="397"/>
      <c r="S364" s="397"/>
      <c r="T364" s="397"/>
      <c r="U364" s="397"/>
      <c r="V364" s="397"/>
      <c r="W364" s="397"/>
      <c r="X364" s="397"/>
      <c r="Y364" s="397"/>
      <c r="Z364" s="397"/>
      <c r="AA364" s="397"/>
      <c r="AB364" s="397"/>
      <c r="AC364" s="397"/>
      <c r="AD364" s="762"/>
      <c r="AH364" s="397"/>
      <c r="AI364" s="397"/>
      <c r="AJ364" s="397"/>
      <c r="AK364" s="397"/>
      <c r="AL364" s="397"/>
      <c r="AM364" s="397"/>
      <c r="AN364" s="397"/>
      <c r="AO364" s="397"/>
      <c r="AP364" s="397"/>
      <c r="AQ364" s="397"/>
      <c r="AR364" s="397"/>
      <c r="AS364" s="397"/>
      <c r="AT364" s="397"/>
      <c r="AU364" s="397"/>
      <c r="AV364" s="397"/>
      <c r="AW364" s="397"/>
      <c r="AX364" s="397"/>
      <c r="AY364" s="397"/>
      <c r="AZ364" s="397"/>
      <c r="BA364" s="397"/>
      <c r="BB364" s="397"/>
      <c r="BC364" s="397"/>
    </row>
    <row r="365" spans="1:55" s="40" customFormat="1" x14ac:dyDescent="0.4">
      <c r="A365" s="50"/>
      <c r="B365" s="1038"/>
      <c r="C365" s="1038"/>
      <c r="D365" s="245" t="s">
        <v>48</v>
      </c>
      <c r="F365" s="397"/>
      <c r="G365" s="397"/>
      <c r="H365" s="240"/>
      <c r="I365" s="397"/>
      <c r="J365" s="397"/>
      <c r="K365" s="397"/>
      <c r="L365" s="397"/>
      <c r="M365" s="397"/>
      <c r="N365" s="397"/>
      <c r="O365" s="397"/>
      <c r="P365" s="397"/>
      <c r="Q365" s="397"/>
      <c r="R365" s="397"/>
      <c r="S365" s="397"/>
      <c r="T365" s="397"/>
      <c r="U365" s="397"/>
      <c r="V365" s="397"/>
      <c r="W365" s="397"/>
      <c r="X365" s="397"/>
      <c r="Y365" s="397"/>
      <c r="Z365" s="397"/>
      <c r="AA365" s="397"/>
      <c r="AB365" s="397"/>
      <c r="AC365" s="397"/>
      <c r="AD365" s="762"/>
      <c r="AH365" s="397"/>
      <c r="AI365" s="397"/>
      <c r="AJ365" s="397"/>
      <c r="AK365" s="397"/>
      <c r="AL365" s="397"/>
      <c r="AM365" s="397"/>
      <c r="AN365" s="397"/>
      <c r="AO365" s="397"/>
      <c r="AP365" s="397"/>
      <c r="AQ365" s="397"/>
      <c r="AR365" s="397"/>
      <c r="AS365" s="397"/>
      <c r="AT365" s="397"/>
      <c r="AU365" s="397"/>
      <c r="AV365" s="397"/>
      <c r="AW365" s="397"/>
      <c r="AX365" s="397"/>
      <c r="AY365" s="397"/>
      <c r="AZ365" s="397"/>
      <c r="BA365" s="397"/>
      <c r="BB365" s="397"/>
      <c r="BC365" s="397"/>
    </row>
    <row r="366" spans="1:55" s="40" customFormat="1" x14ac:dyDescent="0.4">
      <c r="A366" s="50"/>
      <c r="B366" s="1038"/>
      <c r="C366" s="1038"/>
      <c r="D366" s="245" t="s">
        <v>48</v>
      </c>
      <c r="F366" s="397"/>
      <c r="G366" s="397"/>
      <c r="H366" s="240"/>
      <c r="I366" s="397"/>
      <c r="J366" s="397"/>
      <c r="K366" s="397"/>
      <c r="L366" s="397"/>
      <c r="M366" s="397"/>
      <c r="N366" s="397"/>
      <c r="O366" s="397"/>
      <c r="P366" s="397"/>
      <c r="Q366" s="397"/>
      <c r="R366" s="397"/>
      <c r="S366" s="397"/>
      <c r="T366" s="397"/>
      <c r="U366" s="397"/>
      <c r="V366" s="397"/>
      <c r="W366" s="397"/>
      <c r="X366" s="397"/>
      <c r="Y366" s="397"/>
      <c r="Z366" s="397"/>
      <c r="AA366" s="397"/>
      <c r="AB366" s="397"/>
      <c r="AC366" s="397"/>
      <c r="AD366" s="762"/>
      <c r="AH366" s="397"/>
      <c r="AI366" s="397"/>
      <c r="AJ366" s="397"/>
      <c r="AK366" s="397"/>
      <c r="AL366" s="397"/>
      <c r="AM366" s="397"/>
      <c r="AN366" s="397"/>
      <c r="AO366" s="397"/>
      <c r="AP366" s="397"/>
      <c r="AQ366" s="397"/>
      <c r="AR366" s="397"/>
      <c r="AS366" s="397"/>
      <c r="AT366" s="397"/>
      <c r="AU366" s="397"/>
      <c r="AV366" s="397"/>
      <c r="AW366" s="397"/>
      <c r="AX366" s="397"/>
      <c r="AY366" s="397"/>
      <c r="AZ366" s="397"/>
      <c r="BA366" s="397"/>
      <c r="BB366" s="397"/>
      <c r="BC366" s="397"/>
    </row>
    <row r="367" spans="1:55" s="40" customFormat="1" x14ac:dyDescent="0.4">
      <c r="A367" s="50"/>
      <c r="B367" s="1038"/>
      <c r="C367" s="1038"/>
      <c r="D367" s="245" t="s">
        <v>48</v>
      </c>
      <c r="F367" s="397"/>
      <c r="G367" s="397"/>
      <c r="H367" s="240"/>
      <c r="I367" s="397"/>
      <c r="J367" s="397"/>
      <c r="K367" s="397"/>
      <c r="L367" s="397"/>
      <c r="M367" s="397"/>
      <c r="N367" s="397"/>
      <c r="O367" s="397"/>
      <c r="P367" s="397"/>
      <c r="Q367" s="397"/>
      <c r="R367" s="397"/>
      <c r="S367" s="397"/>
      <c r="T367" s="397"/>
      <c r="U367" s="397"/>
      <c r="V367" s="397"/>
      <c r="W367" s="397"/>
      <c r="X367" s="397"/>
      <c r="Y367" s="397"/>
      <c r="Z367" s="397"/>
      <c r="AA367" s="397"/>
      <c r="AB367" s="397"/>
      <c r="AC367" s="397"/>
      <c r="AD367" s="762"/>
      <c r="AH367" s="397"/>
      <c r="AI367" s="397"/>
      <c r="AJ367" s="397"/>
      <c r="AK367" s="397"/>
      <c r="AL367" s="397"/>
      <c r="AM367" s="397"/>
      <c r="AN367" s="397"/>
      <c r="AO367" s="397"/>
      <c r="AP367" s="397"/>
      <c r="AQ367" s="397"/>
      <c r="AR367" s="397"/>
      <c r="AS367" s="397"/>
      <c r="AT367" s="397"/>
      <c r="AU367" s="397"/>
      <c r="AV367" s="397"/>
      <c r="AW367" s="397"/>
      <c r="AX367" s="397"/>
      <c r="AY367" s="397"/>
      <c r="AZ367" s="397"/>
      <c r="BA367" s="397"/>
      <c r="BB367" s="397"/>
      <c r="BC367" s="397"/>
    </row>
    <row r="368" spans="1:55" s="843" customFormat="1" ht="27" customHeight="1" x14ac:dyDescent="0.4">
      <c r="A368" s="1043"/>
      <c r="B368" s="1043"/>
      <c r="C368" s="1043"/>
      <c r="E368" s="846" t="str">
        <f>$E$50</f>
        <v>SÖGULEG LOSUN</v>
      </c>
      <c r="F368" s="844"/>
      <c r="G368" s="844"/>
      <c r="H368" s="844"/>
      <c r="I368" s="844"/>
      <c r="J368" s="844"/>
      <c r="K368" s="844"/>
      <c r="L368" s="844"/>
      <c r="M368" s="844"/>
      <c r="N368" s="844"/>
      <c r="O368" s="844"/>
      <c r="P368" s="844"/>
      <c r="Q368" s="844"/>
      <c r="R368" s="844"/>
      <c r="S368" s="844"/>
      <c r="T368" s="844"/>
      <c r="U368" s="844"/>
      <c r="V368" s="844"/>
      <c r="W368" s="844"/>
      <c r="X368" s="844"/>
      <c r="Y368" s="844"/>
      <c r="Z368" s="844"/>
      <c r="AA368" s="844"/>
      <c r="AB368" s="844"/>
      <c r="AC368" s="844"/>
      <c r="AD368" s="845"/>
      <c r="AG368" s="846" t="str">
        <f>$AG$50</f>
        <v>HISTORICAL EMISSIONS</v>
      </c>
      <c r="AH368" s="844"/>
      <c r="AI368" s="844"/>
      <c r="AJ368" s="844"/>
      <c r="AK368" s="844"/>
      <c r="AL368" s="844"/>
      <c r="AM368" s="844"/>
      <c r="AN368" s="844"/>
      <c r="AO368" s="844"/>
      <c r="AP368" s="844"/>
      <c r="AQ368" s="844"/>
      <c r="AR368" s="844"/>
      <c r="AS368" s="844"/>
      <c r="AT368" s="844"/>
      <c r="AU368" s="844"/>
      <c r="AV368" s="844"/>
      <c r="AW368" s="844"/>
      <c r="AX368" s="844"/>
      <c r="AY368" s="844"/>
      <c r="AZ368" s="844"/>
      <c r="BA368" s="844"/>
      <c r="BB368" s="844"/>
      <c r="BC368" s="844"/>
    </row>
    <row r="369" spans="1:55" s="40" customFormat="1" x14ac:dyDescent="0.4">
      <c r="A369" s="50"/>
      <c r="B369" s="1038"/>
      <c r="C369" s="1038"/>
      <c r="D369" s="245" t="s">
        <v>48</v>
      </c>
      <c r="F369" s="397"/>
      <c r="G369" s="397"/>
      <c r="H369" s="240"/>
      <c r="I369" s="397"/>
      <c r="J369" s="397"/>
      <c r="K369" s="397"/>
      <c r="L369" s="397"/>
      <c r="M369" s="397"/>
      <c r="N369" s="397"/>
      <c r="O369" s="397"/>
      <c r="P369" s="397"/>
      <c r="Q369" s="397"/>
      <c r="R369" s="397"/>
      <c r="S369" s="397"/>
      <c r="T369" s="397"/>
      <c r="U369" s="397"/>
      <c r="V369" s="397"/>
      <c r="W369" s="397"/>
      <c r="X369" s="397"/>
      <c r="Y369" s="397"/>
      <c r="Z369" s="397"/>
      <c r="AA369" s="397"/>
      <c r="AB369" s="397"/>
      <c r="AC369" s="397"/>
      <c r="AD369" s="762"/>
      <c r="AH369" s="397"/>
      <c r="AI369" s="397"/>
      <c r="AJ369" s="397"/>
      <c r="AK369" s="397"/>
      <c r="AL369" s="397"/>
      <c r="AM369" s="397"/>
      <c r="AN369" s="397"/>
      <c r="AO369" s="397"/>
      <c r="AP369" s="397"/>
      <c r="AQ369" s="397"/>
      <c r="AR369" s="397"/>
      <c r="AS369" s="397"/>
      <c r="AT369" s="397"/>
      <c r="AU369" s="397"/>
      <c r="AV369" s="397"/>
      <c r="AW369" s="397"/>
      <c r="AX369" s="397"/>
      <c r="AY369" s="397"/>
      <c r="AZ369" s="397"/>
      <c r="BA369" s="397"/>
      <c r="BB369" s="397"/>
      <c r="BC369" s="397"/>
    </row>
    <row r="370" spans="1:55" s="40" customFormat="1" x14ac:dyDescent="0.4">
      <c r="A370" s="50"/>
      <c r="B370" s="1038"/>
      <c r="C370" s="1038"/>
      <c r="D370" s="245" t="s">
        <v>48</v>
      </c>
      <c r="F370" s="397"/>
      <c r="G370" s="397"/>
      <c r="H370" s="240"/>
      <c r="I370" s="397"/>
      <c r="J370" s="397"/>
      <c r="K370" s="397"/>
      <c r="L370" s="397"/>
      <c r="M370" s="397"/>
      <c r="N370" s="397"/>
      <c r="O370" s="397"/>
      <c r="P370" s="397"/>
      <c r="Q370" s="397"/>
      <c r="R370" s="397"/>
      <c r="S370" s="397"/>
      <c r="T370" s="397"/>
      <c r="U370" s="397"/>
      <c r="V370" s="397"/>
      <c r="W370" s="397"/>
      <c r="X370" s="397"/>
      <c r="Y370" s="397"/>
      <c r="Z370" s="397"/>
      <c r="AA370" s="397"/>
      <c r="AB370" s="397"/>
      <c r="AC370" s="397"/>
      <c r="AD370" s="762"/>
      <c r="AH370" s="397"/>
      <c r="AI370" s="397"/>
      <c r="AJ370" s="397"/>
      <c r="AK370" s="397"/>
      <c r="AL370" s="397"/>
      <c r="AM370" s="397"/>
      <c r="AN370" s="397"/>
      <c r="AO370" s="397"/>
      <c r="AP370" s="397"/>
      <c r="AQ370" s="397"/>
      <c r="AR370" s="397"/>
      <c r="AS370" s="397"/>
      <c r="AT370" s="397"/>
      <c r="AU370" s="397"/>
      <c r="AV370" s="397"/>
      <c r="AW370" s="397"/>
      <c r="AX370" s="397"/>
      <c r="AY370" s="397"/>
      <c r="AZ370" s="397"/>
      <c r="BA370" s="397"/>
      <c r="BB370" s="397"/>
      <c r="BC370" s="397"/>
    </row>
    <row r="371" spans="1:55" s="40" customFormat="1" x14ac:dyDescent="0.4">
      <c r="A371" s="50"/>
      <c r="B371" s="1038"/>
      <c r="C371" s="1038"/>
      <c r="D371" s="245" t="s">
        <v>48</v>
      </c>
      <c r="F371" s="397"/>
      <c r="G371" s="397"/>
      <c r="H371" s="240"/>
      <c r="I371" s="397"/>
      <c r="J371" s="397"/>
      <c r="K371" s="397"/>
      <c r="L371" s="397"/>
      <c r="M371" s="397"/>
      <c r="N371" s="397"/>
      <c r="O371" s="397"/>
      <c r="P371" s="397"/>
      <c r="Q371" s="397"/>
      <c r="R371" s="397"/>
      <c r="S371" s="397"/>
      <c r="T371" s="397"/>
      <c r="U371" s="397"/>
      <c r="V371" s="397"/>
      <c r="W371" s="397"/>
      <c r="X371" s="397"/>
      <c r="Y371" s="397"/>
      <c r="Z371" s="397"/>
      <c r="AA371" s="397"/>
      <c r="AB371" s="397"/>
      <c r="AC371" s="397"/>
      <c r="AD371" s="762"/>
      <c r="AH371" s="397"/>
      <c r="AI371" s="397"/>
      <c r="AJ371" s="397"/>
      <c r="AK371" s="397"/>
      <c r="AL371" s="397"/>
      <c r="AM371" s="397"/>
      <c r="AN371" s="397"/>
      <c r="AO371" s="397"/>
      <c r="AP371" s="397"/>
      <c r="AQ371" s="397"/>
      <c r="AR371" s="397"/>
      <c r="AS371" s="397"/>
      <c r="AT371" s="397"/>
      <c r="AU371" s="397"/>
      <c r="AV371" s="397"/>
      <c r="AW371" s="397"/>
      <c r="AX371" s="397"/>
      <c r="AY371" s="397"/>
      <c r="AZ371" s="397"/>
      <c r="BA371" s="397"/>
      <c r="BB371" s="397"/>
      <c r="BC371" s="397"/>
    </row>
    <row r="372" spans="1:55" s="40" customFormat="1" x14ac:dyDescent="0.4">
      <c r="A372" s="50"/>
      <c r="B372" s="1038"/>
      <c r="C372" s="1038"/>
      <c r="D372" s="245" t="s">
        <v>48</v>
      </c>
      <c r="F372" s="397"/>
      <c r="G372" s="397"/>
      <c r="H372" s="240"/>
      <c r="I372" s="397"/>
      <c r="J372" s="397"/>
      <c r="K372" s="397"/>
      <c r="L372" s="397"/>
      <c r="M372" s="397"/>
      <c r="N372" s="397"/>
      <c r="O372" s="397"/>
      <c r="P372" s="397"/>
      <c r="Q372" s="397"/>
      <c r="R372" s="397"/>
      <c r="S372" s="397"/>
      <c r="T372" s="397"/>
      <c r="U372" s="397"/>
      <c r="V372" s="397"/>
      <c r="W372" s="397"/>
      <c r="X372" s="397"/>
      <c r="Y372" s="397"/>
      <c r="Z372" s="397"/>
      <c r="AA372" s="397"/>
      <c r="AB372" s="397"/>
      <c r="AC372" s="397"/>
      <c r="AD372" s="762"/>
      <c r="AH372" s="397"/>
      <c r="AI372" s="397"/>
      <c r="AJ372" s="397"/>
      <c r="AK372" s="397"/>
      <c r="AL372" s="397"/>
      <c r="AM372" s="397"/>
      <c r="AN372" s="397"/>
      <c r="AO372" s="397"/>
      <c r="AP372" s="397"/>
      <c r="AQ372" s="397"/>
      <c r="AR372" s="397"/>
      <c r="AS372" s="397"/>
      <c r="AT372" s="397"/>
      <c r="AU372" s="397"/>
      <c r="AV372" s="397"/>
      <c r="AW372" s="397"/>
      <c r="AX372" s="397"/>
      <c r="AY372" s="397"/>
      <c r="AZ372" s="397"/>
      <c r="BA372" s="397"/>
      <c r="BB372" s="397"/>
      <c r="BC372" s="397"/>
    </row>
    <row r="373" spans="1:55" s="40" customFormat="1" x14ac:dyDescent="0.4">
      <c r="A373" s="50"/>
      <c r="B373" s="1038"/>
      <c r="C373" s="1038"/>
      <c r="D373" s="245" t="s">
        <v>48</v>
      </c>
      <c r="F373" s="397"/>
      <c r="G373" s="397"/>
      <c r="H373" s="240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762"/>
      <c r="AH373" s="397"/>
      <c r="AI373" s="397"/>
      <c r="AJ373" s="397"/>
      <c r="AK373" s="397"/>
      <c r="AL373" s="397"/>
      <c r="AM373" s="397"/>
      <c r="AN373" s="397"/>
      <c r="AO373" s="397"/>
      <c r="AP373" s="397"/>
      <c r="AQ373" s="397"/>
      <c r="AR373" s="397"/>
      <c r="AS373" s="397"/>
      <c r="AT373" s="397"/>
      <c r="AU373" s="397"/>
      <c r="AV373" s="397"/>
      <c r="AW373" s="397"/>
      <c r="AX373" s="397"/>
      <c r="AY373" s="397"/>
      <c r="AZ373" s="397"/>
      <c r="BA373" s="397"/>
      <c r="BB373" s="397"/>
      <c r="BC373" s="397"/>
    </row>
    <row r="374" spans="1:55" s="40" customFormat="1" x14ac:dyDescent="0.4">
      <c r="A374" s="50"/>
      <c r="B374" s="1038"/>
      <c r="C374" s="1038"/>
      <c r="D374" s="245" t="s">
        <v>48</v>
      </c>
      <c r="F374" s="397"/>
      <c r="G374" s="397"/>
      <c r="H374" s="240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762"/>
      <c r="AH374" s="397"/>
      <c r="AI374" s="397"/>
      <c r="AJ374" s="397"/>
      <c r="AK374" s="397"/>
      <c r="AL374" s="397"/>
      <c r="AM374" s="397"/>
      <c r="AN374" s="397"/>
      <c r="AO374" s="397"/>
      <c r="AP374" s="397"/>
      <c r="AQ374" s="397"/>
      <c r="AR374" s="397"/>
      <c r="AS374" s="397"/>
      <c r="AT374" s="397"/>
      <c r="AU374" s="397"/>
      <c r="AV374" s="397"/>
      <c r="AW374" s="397"/>
      <c r="AX374" s="397"/>
      <c r="AY374" s="397"/>
      <c r="AZ374" s="397"/>
      <c r="BA374" s="397"/>
      <c r="BB374" s="397"/>
      <c r="BC374" s="397"/>
    </row>
    <row r="375" spans="1:55" s="40" customFormat="1" x14ac:dyDescent="0.4">
      <c r="A375" s="50"/>
      <c r="B375" s="1038"/>
      <c r="C375" s="1038"/>
      <c r="D375" s="245" t="s">
        <v>48</v>
      </c>
      <c r="F375" s="397"/>
      <c r="G375" s="397"/>
      <c r="H375" s="240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762"/>
      <c r="AH375" s="397"/>
      <c r="AI375" s="397"/>
      <c r="AJ375" s="397"/>
      <c r="AK375" s="397"/>
      <c r="AL375" s="397"/>
      <c r="AM375" s="397"/>
      <c r="AN375" s="397"/>
      <c r="AO375" s="397"/>
      <c r="AP375" s="397"/>
      <c r="AQ375" s="397"/>
      <c r="AR375" s="397"/>
      <c r="AS375" s="397"/>
      <c r="AT375" s="397"/>
      <c r="AU375" s="397"/>
      <c r="AV375" s="397"/>
      <c r="AW375" s="397"/>
      <c r="AX375" s="397"/>
      <c r="AY375" s="397"/>
      <c r="AZ375" s="397"/>
      <c r="BA375" s="397"/>
      <c r="BB375" s="397"/>
      <c r="BC375" s="397"/>
    </row>
    <row r="376" spans="1:55" s="40" customFormat="1" x14ac:dyDescent="0.4">
      <c r="A376" s="50"/>
      <c r="B376" s="1038"/>
      <c r="C376" s="1038"/>
      <c r="D376" s="245" t="s">
        <v>48</v>
      </c>
      <c r="F376" s="397"/>
      <c r="G376" s="397"/>
      <c r="H376" s="240"/>
      <c r="I376" s="397"/>
      <c r="J376" s="397"/>
      <c r="K376" s="397"/>
      <c r="L376" s="397"/>
      <c r="M376" s="397"/>
      <c r="N376" s="397"/>
      <c r="O376" s="397"/>
      <c r="P376" s="397"/>
      <c r="Q376" s="397"/>
      <c r="R376" s="397"/>
      <c r="S376" s="397"/>
      <c r="T376" s="397"/>
      <c r="U376" s="397"/>
      <c r="V376" s="397"/>
      <c r="W376" s="397"/>
      <c r="X376" s="397"/>
      <c r="Y376" s="397"/>
      <c r="Z376" s="397"/>
      <c r="AA376" s="397"/>
      <c r="AB376" s="397"/>
      <c r="AC376" s="397"/>
      <c r="AD376" s="762"/>
      <c r="AH376" s="397"/>
      <c r="AI376" s="397"/>
      <c r="AJ376" s="397"/>
      <c r="AK376" s="397"/>
      <c r="AL376" s="397"/>
      <c r="AM376" s="397"/>
      <c r="AN376" s="397"/>
      <c r="AO376" s="397"/>
      <c r="AP376" s="397"/>
      <c r="AQ376" s="397"/>
      <c r="AR376" s="397"/>
      <c r="AS376" s="397"/>
      <c r="AT376" s="397"/>
      <c r="AU376" s="397"/>
      <c r="AV376" s="397"/>
      <c r="AW376" s="397"/>
      <c r="AX376" s="397"/>
      <c r="AY376" s="397"/>
      <c r="AZ376" s="397"/>
      <c r="BA376" s="397"/>
      <c r="BB376" s="397"/>
      <c r="BC376" s="397"/>
    </row>
    <row r="377" spans="1:55" s="40" customFormat="1" x14ac:dyDescent="0.4">
      <c r="A377" s="50"/>
      <c r="B377" s="1038"/>
      <c r="C377" s="1038"/>
      <c r="D377" s="245" t="s">
        <v>48</v>
      </c>
      <c r="F377" s="397"/>
      <c r="G377" s="397"/>
      <c r="H377" s="240"/>
      <c r="I377" s="397"/>
      <c r="J377" s="397"/>
      <c r="K377" s="397"/>
      <c r="L377" s="397"/>
      <c r="M377" s="397"/>
      <c r="N377" s="397"/>
      <c r="O377" s="397"/>
      <c r="P377" s="397"/>
      <c r="Q377" s="397"/>
      <c r="R377" s="397"/>
      <c r="S377" s="397"/>
      <c r="T377" s="397"/>
      <c r="U377" s="397"/>
      <c r="V377" s="397"/>
      <c r="W377" s="397"/>
      <c r="X377" s="397"/>
      <c r="Y377" s="397"/>
      <c r="Z377" s="397"/>
      <c r="AA377" s="397"/>
      <c r="AB377" s="397"/>
      <c r="AC377" s="397"/>
      <c r="AD377" s="762"/>
      <c r="AH377" s="397"/>
      <c r="AI377" s="397"/>
      <c r="AJ377" s="397"/>
      <c r="AK377" s="397"/>
      <c r="AL377" s="397"/>
      <c r="AM377" s="397"/>
      <c r="AN377" s="397"/>
      <c r="AO377" s="397"/>
      <c r="AP377" s="397"/>
      <c r="AQ377" s="397"/>
      <c r="AR377" s="397"/>
      <c r="AS377" s="397"/>
      <c r="AT377" s="397"/>
      <c r="AU377" s="397"/>
      <c r="AV377" s="397"/>
      <c r="AW377" s="397"/>
      <c r="AX377" s="397"/>
      <c r="AY377" s="397"/>
      <c r="AZ377" s="397"/>
      <c r="BA377" s="397"/>
      <c r="BB377" s="397"/>
      <c r="BC377" s="397"/>
    </row>
    <row r="378" spans="1:55" s="40" customFormat="1" x14ac:dyDescent="0.4">
      <c r="A378" s="50"/>
      <c r="B378" s="1038"/>
      <c r="C378" s="1038"/>
      <c r="D378" s="245" t="s">
        <v>48</v>
      </c>
      <c r="F378" s="397"/>
      <c r="G378" s="397"/>
      <c r="H378" s="240"/>
      <c r="I378" s="397"/>
      <c r="J378" s="397"/>
      <c r="K378" s="397"/>
      <c r="L378" s="397"/>
      <c r="M378" s="397"/>
      <c r="N378" s="397"/>
      <c r="O378" s="397"/>
      <c r="P378" s="397"/>
      <c r="Q378" s="397"/>
      <c r="R378" s="397"/>
      <c r="S378" s="397"/>
      <c r="T378" s="397"/>
      <c r="U378" s="397"/>
      <c r="V378" s="397"/>
      <c r="W378" s="397"/>
      <c r="X378" s="397"/>
      <c r="Y378" s="397"/>
      <c r="Z378" s="397"/>
      <c r="AA378" s="397"/>
      <c r="AB378" s="397"/>
      <c r="AC378" s="397"/>
      <c r="AD378" s="762"/>
      <c r="AH378" s="397"/>
      <c r="AI378" s="397"/>
      <c r="AJ378" s="397"/>
      <c r="AK378" s="397"/>
      <c r="AL378" s="397"/>
      <c r="AM378" s="397"/>
      <c r="AN378" s="397"/>
      <c r="AO378" s="397"/>
      <c r="AP378" s="397"/>
      <c r="AQ378" s="397"/>
      <c r="AR378" s="397"/>
      <c r="AS378" s="397"/>
      <c r="AT378" s="397"/>
      <c r="AU378" s="397"/>
      <c r="AV378" s="397"/>
      <c r="AW378" s="397"/>
      <c r="AX378" s="397"/>
      <c r="AY378" s="397"/>
      <c r="AZ378" s="397"/>
      <c r="BA378" s="397"/>
      <c r="BB378" s="397"/>
      <c r="BC378" s="397"/>
    </row>
    <row r="379" spans="1:55" s="40" customFormat="1" x14ac:dyDescent="0.4">
      <c r="A379" s="50"/>
      <c r="B379" s="1038"/>
      <c r="C379" s="1038"/>
      <c r="D379" s="245" t="s">
        <v>48</v>
      </c>
      <c r="F379" s="397"/>
      <c r="G379" s="397"/>
      <c r="H379" s="240"/>
      <c r="I379" s="397"/>
      <c r="J379" s="397"/>
      <c r="K379" s="397"/>
      <c r="L379" s="397"/>
      <c r="M379" s="397"/>
      <c r="N379" s="397"/>
      <c r="O379" s="397"/>
      <c r="P379" s="397"/>
      <c r="Q379" s="397"/>
      <c r="R379" s="397"/>
      <c r="S379" s="397"/>
      <c r="T379" s="397"/>
      <c r="U379" s="397"/>
      <c r="V379" s="397"/>
      <c r="W379" s="397"/>
      <c r="X379" s="397"/>
      <c r="Y379" s="397"/>
      <c r="Z379" s="397"/>
      <c r="AA379" s="397"/>
      <c r="AB379" s="397"/>
      <c r="AC379" s="397"/>
      <c r="AD379" s="762"/>
      <c r="AH379" s="397"/>
      <c r="AI379" s="397"/>
      <c r="AJ379" s="397"/>
      <c r="AK379" s="397"/>
      <c r="AL379" s="397"/>
      <c r="AM379" s="397"/>
      <c r="AN379" s="397"/>
      <c r="AO379" s="397"/>
      <c r="AP379" s="397"/>
      <c r="AQ379" s="397"/>
      <c r="AR379" s="397"/>
      <c r="AS379" s="397"/>
      <c r="AT379" s="397"/>
      <c r="AU379" s="397"/>
      <c r="AV379" s="397"/>
      <c r="AW379" s="397"/>
      <c r="AX379" s="397"/>
      <c r="AY379" s="397"/>
      <c r="AZ379" s="397"/>
      <c r="BA379" s="397"/>
      <c r="BB379" s="397"/>
      <c r="BC379" s="397"/>
    </row>
    <row r="380" spans="1:55" s="40" customFormat="1" ht="15" customHeight="1" x14ac:dyDescent="0.4">
      <c r="A380" s="50"/>
      <c r="B380" s="1038"/>
      <c r="C380" s="1038"/>
      <c r="D380" s="245" t="s">
        <v>48</v>
      </c>
      <c r="F380" s="397"/>
      <c r="G380" s="397"/>
      <c r="H380" s="240"/>
      <c r="I380" s="397"/>
      <c r="J380" s="397"/>
      <c r="K380" s="397"/>
      <c r="L380" s="397"/>
      <c r="M380" s="397"/>
      <c r="N380" s="397"/>
      <c r="O380" s="397"/>
      <c r="P380" s="397"/>
      <c r="Q380" s="397"/>
      <c r="R380" s="397"/>
      <c r="S380" s="397"/>
      <c r="T380" s="397"/>
      <c r="U380" s="397"/>
      <c r="V380" s="397"/>
      <c r="W380" s="397"/>
      <c r="X380" s="397"/>
      <c r="Y380" s="397"/>
      <c r="Z380" s="397"/>
      <c r="AA380" s="397"/>
      <c r="AB380" s="397"/>
      <c r="AC380" s="397"/>
      <c r="AD380" s="762"/>
      <c r="AH380" s="397"/>
      <c r="AI380" s="397"/>
      <c r="AJ380" s="397"/>
      <c r="AK380" s="397"/>
      <c r="AL380" s="397"/>
      <c r="AM380" s="397"/>
      <c r="AN380" s="397"/>
      <c r="AO380" s="397"/>
      <c r="AP380" s="397"/>
      <c r="AQ380" s="397"/>
      <c r="AR380" s="397"/>
      <c r="AS380" s="397"/>
      <c r="AT380" s="397"/>
      <c r="AU380" s="397"/>
      <c r="AV380" s="397"/>
      <c r="AW380" s="397"/>
      <c r="AX380" s="397"/>
      <c r="AY380" s="397"/>
      <c r="AZ380" s="397"/>
      <c r="BA380" s="397"/>
      <c r="BB380" s="397"/>
      <c r="BC380" s="397"/>
    </row>
    <row r="381" spans="1:55" s="40" customFormat="1" ht="15" customHeight="1" x14ac:dyDescent="0.4">
      <c r="A381" s="50"/>
      <c r="B381" s="1038"/>
      <c r="C381" s="1038"/>
      <c r="D381" s="245" t="s">
        <v>48</v>
      </c>
      <c r="F381" s="397"/>
      <c r="G381" s="397"/>
      <c r="H381" s="240"/>
      <c r="I381" s="397"/>
      <c r="J381" s="397"/>
      <c r="K381" s="397"/>
      <c r="L381" s="397"/>
      <c r="M381" s="397"/>
      <c r="N381" s="397"/>
      <c r="O381" s="397"/>
      <c r="P381" s="397"/>
      <c r="Q381" s="397"/>
      <c r="R381" s="397"/>
      <c r="S381" s="397"/>
      <c r="T381" s="397"/>
      <c r="U381" s="397"/>
      <c r="V381" s="397"/>
      <c r="W381" s="397"/>
      <c r="X381" s="397"/>
      <c r="Y381" s="397"/>
      <c r="Z381" s="397"/>
      <c r="AA381" s="397"/>
      <c r="AB381" s="397"/>
      <c r="AC381" s="397"/>
      <c r="AD381" s="762"/>
      <c r="AH381" s="397"/>
      <c r="AI381" s="397"/>
      <c r="AJ381" s="397"/>
      <c r="AK381" s="397"/>
      <c r="AL381" s="397"/>
      <c r="AM381" s="397"/>
      <c r="AN381" s="397"/>
      <c r="AO381" s="397"/>
      <c r="AP381" s="397"/>
      <c r="AQ381" s="397"/>
      <c r="AR381" s="397"/>
      <c r="AS381" s="397"/>
      <c r="AT381" s="397"/>
      <c r="AU381" s="397"/>
      <c r="AV381" s="397"/>
      <c r="AW381" s="397"/>
      <c r="AX381" s="397"/>
      <c r="AY381" s="397"/>
      <c r="AZ381" s="397"/>
      <c r="BA381" s="397"/>
      <c r="BB381" s="397"/>
      <c r="BC381" s="397"/>
    </row>
    <row r="382" spans="1:55" s="40" customFormat="1" ht="15" customHeight="1" x14ac:dyDescent="0.4">
      <c r="A382" s="50"/>
      <c r="B382" s="1038"/>
      <c r="C382" s="1038"/>
      <c r="D382" s="245" t="s">
        <v>48</v>
      </c>
      <c r="F382" s="397"/>
      <c r="G382" s="397"/>
      <c r="H382" s="240"/>
      <c r="I382" s="397"/>
      <c r="J382" s="397"/>
      <c r="K382" s="397"/>
      <c r="L382" s="397"/>
      <c r="M382" s="397"/>
      <c r="N382" s="397"/>
      <c r="O382" s="397"/>
      <c r="P382" s="397"/>
      <c r="Q382" s="397"/>
      <c r="R382" s="397"/>
      <c r="S382" s="397"/>
      <c r="T382" s="397"/>
      <c r="U382" s="397"/>
      <c r="V382" s="397"/>
      <c r="W382" s="397"/>
      <c r="X382" s="397"/>
      <c r="Y382" s="397"/>
      <c r="Z382" s="397"/>
      <c r="AA382" s="397"/>
      <c r="AB382" s="397"/>
      <c r="AC382" s="397"/>
      <c r="AD382" s="762"/>
      <c r="AH382" s="397"/>
      <c r="AI382" s="397"/>
      <c r="AJ382" s="397"/>
      <c r="AK382" s="397"/>
      <c r="AL382" s="397"/>
      <c r="AM382" s="397"/>
      <c r="AN382" s="397"/>
      <c r="AO382" s="397"/>
      <c r="AP382" s="397"/>
      <c r="AQ382" s="397"/>
      <c r="AR382" s="397"/>
      <c r="AS382" s="397"/>
      <c r="AT382" s="397"/>
      <c r="AU382" s="397"/>
      <c r="AV382" s="397"/>
      <c r="AW382" s="397"/>
      <c r="AX382" s="397"/>
      <c r="AY382" s="397"/>
      <c r="AZ382" s="397"/>
      <c r="BA382" s="397"/>
      <c r="BB382" s="397"/>
      <c r="BC382" s="397"/>
    </row>
    <row r="383" spans="1:55" s="40" customFormat="1" x14ac:dyDescent="0.4">
      <c r="A383" s="50"/>
      <c r="B383" s="1038"/>
      <c r="C383" s="1038"/>
      <c r="D383" s="245" t="s">
        <v>48</v>
      </c>
      <c r="F383" s="397"/>
      <c r="G383" s="397"/>
      <c r="H383" s="240"/>
      <c r="I383" s="397"/>
      <c r="J383" s="397"/>
      <c r="K383" s="397"/>
      <c r="L383" s="397"/>
      <c r="M383" s="397"/>
      <c r="N383" s="397"/>
      <c r="O383" s="397"/>
      <c r="P383" s="397"/>
      <c r="Q383" s="397"/>
      <c r="R383" s="397"/>
      <c r="S383" s="397"/>
      <c r="T383" s="397"/>
      <c r="U383" s="397"/>
      <c r="V383" s="397"/>
      <c r="W383" s="397"/>
      <c r="X383" s="397"/>
      <c r="Y383" s="397"/>
      <c r="Z383" s="397"/>
      <c r="AA383" s="397"/>
      <c r="AB383" s="397"/>
      <c r="AC383" s="397"/>
      <c r="AD383" s="762"/>
      <c r="AH383" s="397"/>
      <c r="AI383" s="397"/>
      <c r="AJ383" s="397"/>
      <c r="AK383" s="397"/>
      <c r="AL383" s="397"/>
      <c r="AM383" s="397"/>
      <c r="AN383" s="397"/>
      <c r="AO383" s="397"/>
      <c r="AP383" s="397"/>
      <c r="AQ383" s="397"/>
      <c r="AR383" s="397"/>
      <c r="AS383" s="397"/>
      <c r="AT383" s="397"/>
      <c r="AU383" s="397"/>
      <c r="AV383" s="397"/>
      <c r="AW383" s="397"/>
      <c r="AX383" s="397"/>
      <c r="AY383" s="397"/>
      <c r="AZ383" s="397"/>
      <c r="BA383" s="397"/>
      <c r="BB383" s="397"/>
      <c r="BC383" s="397"/>
    </row>
    <row r="384" spans="1:55" s="40" customFormat="1" x14ac:dyDescent="0.4">
      <c r="A384" s="50"/>
      <c r="B384" s="1038"/>
      <c r="C384" s="1038"/>
      <c r="D384" s="245" t="s">
        <v>48</v>
      </c>
      <c r="F384" s="397"/>
      <c r="G384" s="397"/>
      <c r="H384" s="240"/>
      <c r="I384" s="397"/>
      <c r="J384" s="397"/>
      <c r="K384" s="397"/>
      <c r="L384" s="397"/>
      <c r="M384" s="397"/>
      <c r="N384" s="397"/>
      <c r="O384" s="397"/>
      <c r="P384" s="397"/>
      <c r="Q384" s="397"/>
      <c r="R384" s="397"/>
      <c r="S384" s="397"/>
      <c r="T384" s="397"/>
      <c r="U384" s="397"/>
      <c r="V384" s="397"/>
      <c r="W384" s="397"/>
      <c r="X384" s="397"/>
      <c r="Y384" s="397"/>
      <c r="Z384" s="397"/>
      <c r="AA384" s="397"/>
      <c r="AB384" s="397"/>
      <c r="AC384" s="397"/>
      <c r="AD384" s="762"/>
      <c r="AH384" s="397"/>
      <c r="AI384" s="397"/>
      <c r="AJ384" s="397"/>
      <c r="AK384" s="397"/>
      <c r="AL384" s="397"/>
      <c r="AM384" s="397"/>
      <c r="AN384" s="397"/>
      <c r="AO384" s="397"/>
      <c r="AP384" s="397"/>
      <c r="AQ384" s="397"/>
      <c r="AR384" s="397"/>
      <c r="AS384" s="397"/>
      <c r="AT384" s="397"/>
      <c r="AU384" s="397"/>
      <c r="AV384" s="397"/>
      <c r="AW384" s="397"/>
      <c r="AX384" s="397"/>
      <c r="AY384" s="397"/>
      <c r="AZ384" s="397"/>
      <c r="BA384" s="397"/>
      <c r="BB384" s="397"/>
      <c r="BC384" s="397"/>
    </row>
    <row r="385" spans="1:55" s="40" customFormat="1" x14ac:dyDescent="0.4">
      <c r="A385" s="50"/>
      <c r="B385" s="1038"/>
      <c r="C385" s="1038"/>
      <c r="D385" s="245" t="s">
        <v>48</v>
      </c>
      <c r="F385" s="397"/>
      <c r="G385" s="397"/>
      <c r="H385" s="240"/>
      <c r="I385" s="397"/>
      <c r="J385" s="397"/>
      <c r="K385" s="397"/>
      <c r="L385" s="397"/>
      <c r="M385" s="397"/>
      <c r="N385" s="397"/>
      <c r="O385" s="397"/>
      <c r="P385" s="397"/>
      <c r="Q385" s="397"/>
      <c r="R385" s="397"/>
      <c r="S385" s="397"/>
      <c r="T385" s="397"/>
      <c r="U385" s="397"/>
      <c r="V385" s="397"/>
      <c r="W385" s="397"/>
      <c r="X385" s="397"/>
      <c r="Y385" s="397"/>
      <c r="Z385" s="397"/>
      <c r="AA385" s="397"/>
      <c r="AB385" s="397"/>
      <c r="AC385" s="397"/>
      <c r="AD385" s="762"/>
      <c r="AH385" s="397"/>
      <c r="AI385" s="397"/>
      <c r="AJ385" s="397"/>
      <c r="AK385" s="397"/>
      <c r="AL385" s="397"/>
      <c r="AM385" s="397"/>
      <c r="AN385" s="397"/>
      <c r="AO385" s="397"/>
      <c r="AP385" s="397"/>
      <c r="AQ385" s="397"/>
      <c r="AR385" s="397"/>
      <c r="AS385" s="397"/>
      <c r="AT385" s="397"/>
      <c r="AU385" s="397"/>
      <c r="AV385" s="397"/>
      <c r="AW385" s="397"/>
      <c r="AX385" s="397"/>
      <c r="AY385" s="397"/>
      <c r="AZ385" s="397"/>
      <c r="BA385" s="397"/>
      <c r="BB385" s="397"/>
      <c r="BC385" s="397"/>
    </row>
    <row r="386" spans="1:55" s="40" customFormat="1" x14ac:dyDescent="0.4">
      <c r="A386" s="50"/>
      <c r="B386" s="1038"/>
      <c r="C386" s="1038"/>
      <c r="D386" s="245" t="s">
        <v>48</v>
      </c>
      <c r="F386" s="397"/>
      <c r="G386" s="397"/>
      <c r="H386" s="240"/>
      <c r="I386" s="397"/>
      <c r="J386" s="397"/>
      <c r="K386" s="397"/>
      <c r="L386" s="397"/>
      <c r="M386" s="397"/>
      <c r="N386" s="397"/>
      <c r="O386" s="397"/>
      <c r="P386" s="397"/>
      <c r="Q386" s="397"/>
      <c r="R386" s="397"/>
      <c r="S386" s="397"/>
      <c r="T386" s="397"/>
      <c r="U386" s="397"/>
      <c r="V386" s="397"/>
      <c r="W386" s="397"/>
      <c r="X386" s="397"/>
      <c r="Y386" s="397"/>
      <c r="Z386" s="397"/>
      <c r="AA386" s="397"/>
      <c r="AB386" s="397"/>
      <c r="AC386" s="397"/>
      <c r="AD386" s="762"/>
      <c r="AH386" s="397"/>
      <c r="AI386" s="397"/>
      <c r="AJ386" s="397"/>
      <c r="AK386" s="397"/>
      <c r="AL386" s="397"/>
      <c r="AM386" s="397"/>
      <c r="AN386" s="397"/>
      <c r="AO386" s="397"/>
      <c r="AP386" s="397"/>
      <c r="AQ386" s="397"/>
      <c r="AR386" s="397"/>
      <c r="AS386" s="397"/>
      <c r="AT386" s="397"/>
      <c r="AU386" s="397"/>
      <c r="AV386" s="397"/>
      <c r="AW386" s="397"/>
      <c r="AX386" s="397"/>
      <c r="AY386" s="397"/>
      <c r="AZ386" s="397"/>
      <c r="BA386" s="397"/>
      <c r="BB386" s="397"/>
      <c r="BC386" s="397"/>
    </row>
    <row r="387" spans="1:55" s="40" customFormat="1" x14ac:dyDescent="0.4">
      <c r="A387" s="50"/>
      <c r="B387" s="1038"/>
      <c r="C387" s="1038"/>
      <c r="D387" s="245" t="s">
        <v>48</v>
      </c>
      <c r="F387" s="397"/>
      <c r="G387" s="397"/>
      <c r="H387" s="240"/>
      <c r="I387" s="397"/>
      <c r="J387" s="397"/>
      <c r="K387" s="397"/>
      <c r="L387" s="397"/>
      <c r="M387" s="397"/>
      <c r="N387" s="397"/>
      <c r="O387" s="397"/>
      <c r="P387" s="397"/>
      <c r="Q387" s="397"/>
      <c r="R387" s="397"/>
      <c r="S387" s="397"/>
      <c r="T387" s="397"/>
      <c r="U387" s="397"/>
      <c r="V387" s="397"/>
      <c r="W387" s="397"/>
      <c r="X387" s="397"/>
      <c r="Y387" s="397"/>
      <c r="Z387" s="397"/>
      <c r="AA387" s="397"/>
      <c r="AB387" s="397"/>
      <c r="AC387" s="397"/>
      <c r="AD387" s="762"/>
      <c r="AH387" s="397"/>
      <c r="AI387" s="397"/>
      <c r="AJ387" s="397"/>
      <c r="AK387" s="397"/>
      <c r="AL387" s="397"/>
      <c r="AM387" s="397"/>
      <c r="AN387" s="397"/>
      <c r="AO387" s="397"/>
      <c r="AP387" s="397"/>
      <c r="AQ387" s="397"/>
      <c r="AR387" s="397"/>
      <c r="AS387" s="397"/>
      <c r="AT387" s="397"/>
      <c r="AU387" s="397"/>
      <c r="AV387" s="397"/>
      <c r="AW387" s="397"/>
      <c r="AX387" s="397"/>
      <c r="AY387" s="397"/>
      <c r="AZ387" s="397"/>
      <c r="BA387" s="397"/>
      <c r="BB387" s="397"/>
      <c r="BC387" s="397"/>
    </row>
    <row r="388" spans="1:55" s="40" customFormat="1" x14ac:dyDescent="0.4">
      <c r="A388" s="50"/>
      <c r="B388" s="1038"/>
      <c r="C388" s="1038"/>
      <c r="D388" s="245" t="s">
        <v>48</v>
      </c>
      <c r="F388" s="397"/>
      <c r="G388" s="397"/>
      <c r="H388" s="240"/>
      <c r="I388" s="397"/>
      <c r="J388" s="397"/>
      <c r="K388" s="397"/>
      <c r="L388" s="397"/>
      <c r="M388" s="397"/>
      <c r="N388" s="397"/>
      <c r="O388" s="397"/>
      <c r="P388" s="397"/>
      <c r="Q388" s="397"/>
      <c r="R388" s="397"/>
      <c r="S388" s="397"/>
      <c r="T388" s="397"/>
      <c r="U388" s="397"/>
      <c r="V388" s="397"/>
      <c r="W388" s="397"/>
      <c r="X388" s="397"/>
      <c r="Y388" s="397"/>
      <c r="Z388" s="397"/>
      <c r="AA388" s="397"/>
      <c r="AB388" s="397"/>
      <c r="AC388" s="397"/>
      <c r="AD388" s="762"/>
      <c r="AH388" s="397"/>
      <c r="AI388" s="397"/>
      <c r="AJ388" s="397"/>
      <c r="AK388" s="397"/>
      <c r="AL388" s="397"/>
      <c r="AM388" s="397"/>
      <c r="AN388" s="397"/>
      <c r="AO388" s="397"/>
      <c r="AP388" s="397"/>
      <c r="AQ388" s="397"/>
      <c r="AR388" s="397"/>
      <c r="AS388" s="397"/>
      <c r="AT388" s="397"/>
      <c r="AU388" s="397"/>
      <c r="AV388" s="397"/>
      <c r="AW388" s="397"/>
      <c r="AX388" s="397"/>
      <c r="AY388" s="397"/>
      <c r="AZ388" s="397"/>
      <c r="BA388" s="397"/>
      <c r="BB388" s="397"/>
      <c r="BC388" s="397"/>
    </row>
    <row r="389" spans="1:55" s="40" customFormat="1" x14ac:dyDescent="0.4">
      <c r="A389" s="50"/>
      <c r="B389" s="1038"/>
      <c r="C389" s="1038"/>
      <c r="D389" s="245" t="s">
        <v>48</v>
      </c>
      <c r="F389" s="397"/>
      <c r="G389" s="397"/>
      <c r="H389" s="240"/>
      <c r="I389" s="397"/>
      <c r="J389" s="397"/>
      <c r="K389" s="397"/>
      <c r="L389" s="397"/>
      <c r="M389" s="397"/>
      <c r="N389" s="397"/>
      <c r="O389" s="397"/>
      <c r="P389" s="397"/>
      <c r="Q389" s="397"/>
      <c r="R389" s="397"/>
      <c r="S389" s="397"/>
      <c r="T389" s="397"/>
      <c r="U389" s="397"/>
      <c r="V389" s="397"/>
      <c r="W389" s="397"/>
      <c r="X389" s="397"/>
      <c r="Y389" s="397"/>
      <c r="Z389" s="397"/>
      <c r="AA389" s="397"/>
      <c r="AB389" s="397"/>
      <c r="AC389" s="397"/>
      <c r="AD389" s="762"/>
      <c r="AH389" s="397"/>
      <c r="AI389" s="397"/>
      <c r="AJ389" s="397"/>
      <c r="AK389" s="397"/>
      <c r="AL389" s="397"/>
      <c r="AM389" s="397"/>
      <c r="AN389" s="397"/>
      <c r="AO389" s="397"/>
      <c r="AP389" s="397"/>
      <c r="AQ389" s="397"/>
      <c r="AR389" s="397"/>
      <c r="AS389" s="397"/>
      <c r="AT389" s="397"/>
      <c r="AU389" s="397"/>
      <c r="AV389" s="397"/>
      <c r="AW389" s="397"/>
      <c r="AX389" s="397"/>
      <c r="AY389" s="397"/>
      <c r="AZ389" s="397"/>
      <c r="BA389" s="397"/>
      <c r="BB389" s="397"/>
      <c r="BC389" s="397"/>
    </row>
    <row r="390" spans="1:55" s="40" customFormat="1" x14ac:dyDescent="0.4">
      <c r="A390" s="50"/>
      <c r="B390" s="1038"/>
      <c r="C390" s="1038"/>
      <c r="D390" s="245" t="s">
        <v>48</v>
      </c>
      <c r="F390" s="397"/>
      <c r="G390" s="397"/>
      <c r="H390" s="240"/>
      <c r="I390" s="397"/>
      <c r="J390" s="397"/>
      <c r="K390" s="397"/>
      <c r="L390" s="397"/>
      <c r="M390" s="397"/>
      <c r="N390" s="397"/>
      <c r="O390" s="397"/>
      <c r="P390" s="397"/>
      <c r="Q390" s="397"/>
      <c r="R390" s="397"/>
      <c r="S390" s="397"/>
      <c r="T390" s="397"/>
      <c r="V390" s="397"/>
      <c r="W390" s="397"/>
      <c r="X390" s="397"/>
      <c r="Y390" s="397"/>
      <c r="Z390" s="397"/>
      <c r="AA390" s="397"/>
      <c r="AB390" s="397"/>
      <c r="AC390" s="397"/>
      <c r="AD390" s="762"/>
      <c r="AH390" s="397"/>
      <c r="AI390" s="397"/>
      <c r="AJ390" s="397"/>
      <c r="AK390" s="397"/>
      <c r="AL390" s="397"/>
      <c r="AM390" s="397"/>
      <c r="AN390" s="397"/>
      <c r="AO390" s="397"/>
      <c r="AP390" s="397"/>
      <c r="AQ390" s="397"/>
      <c r="AR390" s="397"/>
      <c r="AS390" s="397"/>
      <c r="AT390" s="397"/>
      <c r="AU390" s="397"/>
      <c r="AV390" s="397"/>
      <c r="AW390" s="397"/>
      <c r="AX390" s="397"/>
      <c r="AY390" s="397"/>
      <c r="AZ390" s="397"/>
      <c r="BA390" s="397"/>
      <c r="BB390" s="397"/>
      <c r="BC390" s="397"/>
    </row>
    <row r="391" spans="1:55" s="40" customFormat="1" x14ac:dyDescent="0.4">
      <c r="A391" s="50"/>
      <c r="B391" s="1038"/>
      <c r="C391" s="1038"/>
      <c r="D391" s="245"/>
      <c r="F391" s="397"/>
      <c r="G391" s="397"/>
      <c r="H391" s="240"/>
      <c r="I391" s="397"/>
      <c r="J391" s="397"/>
      <c r="K391" s="397"/>
      <c r="L391" s="397"/>
      <c r="M391" s="397"/>
      <c r="N391" s="397"/>
      <c r="O391" s="397"/>
      <c r="P391" s="397"/>
      <c r="Q391" s="397"/>
      <c r="R391" s="397"/>
      <c r="S391" s="397"/>
      <c r="T391" s="397"/>
      <c r="U391" s="397"/>
      <c r="V391" s="397"/>
      <c r="W391" s="397"/>
      <c r="X391" s="397"/>
      <c r="Y391" s="397"/>
      <c r="Z391" s="397"/>
      <c r="AA391" s="397"/>
      <c r="AB391" s="397"/>
      <c r="AC391" s="397"/>
      <c r="AD391" s="762"/>
      <c r="AH391" s="397"/>
      <c r="AI391" s="397"/>
      <c r="AJ391" s="397"/>
      <c r="AK391" s="397"/>
      <c r="AL391" s="397"/>
      <c r="AM391" s="397"/>
      <c r="AN391" s="397"/>
      <c r="AO391" s="397"/>
      <c r="AP391" s="397"/>
      <c r="AQ391" s="397"/>
      <c r="AR391" s="397"/>
      <c r="AS391" s="397"/>
      <c r="AT391" s="397"/>
      <c r="AU391" s="397"/>
      <c r="AV391" s="397"/>
      <c r="AW391" s="397"/>
      <c r="AX391" s="397"/>
      <c r="AY391" s="397"/>
      <c r="AZ391" s="397"/>
      <c r="BA391" s="397"/>
      <c r="BB391" s="397"/>
      <c r="BC391" s="397"/>
    </row>
    <row r="392" spans="1:55" s="40" customFormat="1" x14ac:dyDescent="0.4">
      <c r="A392" s="50"/>
      <c r="B392" s="1038"/>
      <c r="C392" s="1038"/>
      <c r="D392" s="245"/>
      <c r="F392" s="397"/>
      <c r="G392" s="397"/>
      <c r="H392" s="240"/>
      <c r="I392" s="397"/>
      <c r="J392" s="397"/>
      <c r="K392" s="397"/>
      <c r="L392" s="397"/>
      <c r="M392" s="397"/>
      <c r="N392" s="397"/>
      <c r="O392" s="397"/>
      <c r="P392" s="397"/>
      <c r="Q392" s="397"/>
      <c r="R392" s="397"/>
      <c r="S392" s="397"/>
      <c r="T392" s="397"/>
      <c r="U392" s="397"/>
      <c r="V392" s="397"/>
      <c r="W392" s="397"/>
      <c r="X392" s="397"/>
      <c r="Y392" s="397"/>
      <c r="Z392" s="397"/>
      <c r="AA392" s="397"/>
      <c r="AB392" s="397"/>
      <c r="AC392" s="397"/>
      <c r="AD392" s="762"/>
      <c r="AH392" s="397"/>
      <c r="AI392" s="397"/>
      <c r="AJ392" s="397"/>
      <c r="AK392" s="397"/>
      <c r="AL392" s="397"/>
      <c r="AM392" s="397"/>
      <c r="AN392" s="397"/>
      <c r="AO392" s="397"/>
      <c r="AP392" s="397"/>
      <c r="AQ392" s="397"/>
      <c r="AR392" s="397"/>
      <c r="AS392" s="397"/>
      <c r="AT392" s="397"/>
      <c r="AU392" s="397"/>
      <c r="AV392" s="397"/>
      <c r="AW392" s="397"/>
      <c r="AX392" s="397"/>
      <c r="AY392" s="397"/>
      <c r="AZ392" s="397"/>
      <c r="BA392" s="397"/>
      <c r="BB392" s="397"/>
      <c r="BC392" s="397"/>
    </row>
    <row r="393" spans="1:55" s="843" customFormat="1" ht="27" customHeight="1" x14ac:dyDescent="0.4">
      <c r="A393" s="1043"/>
      <c r="B393" s="1043"/>
      <c r="C393" s="1043"/>
      <c r="E393" s="846" t="str">
        <f>$E$211</f>
        <v>FRAMREIKNUÐ LOSUN</v>
      </c>
      <c r="F393" s="844"/>
      <c r="G393" s="844"/>
      <c r="H393" s="844"/>
      <c r="I393" s="844"/>
      <c r="J393" s="844"/>
      <c r="K393" s="844"/>
      <c r="L393" s="844"/>
      <c r="M393" s="844"/>
      <c r="N393" s="844"/>
      <c r="O393" s="844"/>
      <c r="P393" s="844"/>
      <c r="Q393" s="844"/>
      <c r="R393" s="844"/>
      <c r="S393" s="844"/>
      <c r="T393" s="844"/>
      <c r="U393" s="844"/>
      <c r="V393" s="844"/>
      <c r="W393" s="844"/>
      <c r="X393" s="844"/>
      <c r="Y393" s="844"/>
      <c r="Z393" s="844"/>
      <c r="AA393" s="844"/>
      <c r="AB393" s="844"/>
      <c r="AC393" s="844"/>
      <c r="AD393" s="845"/>
      <c r="AG393" s="846" t="str">
        <f>$AG$211</f>
        <v>EMISSION PROJECTIONS</v>
      </c>
      <c r="AH393" s="844"/>
      <c r="AI393" s="844"/>
      <c r="AJ393" s="844"/>
      <c r="AK393" s="844"/>
      <c r="AL393" s="844"/>
      <c r="AM393" s="844"/>
      <c r="AN393" s="844"/>
      <c r="AO393" s="844"/>
      <c r="AP393" s="844"/>
      <c r="AQ393" s="844"/>
      <c r="AR393" s="844"/>
      <c r="AS393" s="844"/>
      <c r="AT393" s="844"/>
      <c r="AU393" s="844"/>
      <c r="AV393" s="844"/>
      <c r="AW393" s="844"/>
      <c r="AX393" s="844"/>
      <c r="AY393" s="844"/>
      <c r="AZ393" s="844"/>
      <c r="BA393" s="844"/>
      <c r="BB393" s="844"/>
      <c r="BC393" s="844"/>
    </row>
    <row r="394" spans="1:55" s="40" customFormat="1" x14ac:dyDescent="0.4">
      <c r="A394" s="50"/>
      <c r="B394" s="1038"/>
      <c r="C394" s="1038"/>
      <c r="D394" s="245" t="s">
        <v>48</v>
      </c>
      <c r="F394" s="397"/>
      <c r="G394" s="397"/>
      <c r="H394" s="240"/>
      <c r="I394" s="397"/>
      <c r="J394" s="397"/>
      <c r="K394" s="397"/>
      <c r="L394" s="397"/>
      <c r="M394" s="397"/>
      <c r="N394" s="397"/>
      <c r="O394" s="397"/>
      <c r="P394" s="397"/>
      <c r="Q394" s="397"/>
      <c r="R394" s="397"/>
      <c r="S394" s="397"/>
      <c r="T394" s="397"/>
      <c r="U394" s="397"/>
      <c r="V394" s="397"/>
      <c r="W394" s="397"/>
      <c r="X394" s="397"/>
      <c r="Y394" s="397"/>
      <c r="Z394" s="397"/>
      <c r="AA394" s="397"/>
      <c r="AB394" s="397"/>
      <c r="AC394" s="397"/>
      <c r="AD394" s="762"/>
      <c r="AH394" s="397"/>
      <c r="AI394" s="397"/>
      <c r="AJ394" s="397"/>
      <c r="AK394" s="397"/>
      <c r="AL394" s="397"/>
      <c r="AM394" s="397"/>
      <c r="AN394" s="397"/>
      <c r="AO394" s="397"/>
      <c r="AP394" s="397"/>
      <c r="AQ394" s="397"/>
      <c r="AR394" s="397"/>
      <c r="AS394" s="397"/>
      <c r="AT394" s="397"/>
      <c r="AU394" s="397"/>
      <c r="AV394" s="397"/>
      <c r="AW394" s="397"/>
      <c r="AX394" s="397"/>
      <c r="AY394" s="397"/>
      <c r="AZ394" s="397"/>
      <c r="BA394" s="397"/>
      <c r="BB394" s="397"/>
      <c r="BC394" s="397"/>
    </row>
    <row r="395" spans="1:55" s="40" customFormat="1" x14ac:dyDescent="0.4">
      <c r="A395" s="50"/>
      <c r="B395" s="1038"/>
      <c r="C395" s="1038"/>
      <c r="D395" s="245" t="s">
        <v>48</v>
      </c>
      <c r="F395" s="397"/>
      <c r="G395" s="397"/>
      <c r="H395" s="240"/>
      <c r="I395" s="397"/>
      <c r="J395" s="397"/>
      <c r="K395" s="397"/>
      <c r="L395" s="397"/>
      <c r="M395" s="397"/>
      <c r="N395" s="397"/>
      <c r="O395" s="397"/>
      <c r="P395" s="397"/>
      <c r="Q395" s="397"/>
      <c r="R395" s="397"/>
      <c r="S395" s="397"/>
      <c r="T395" s="397"/>
      <c r="U395" s="397"/>
      <c r="V395" s="397"/>
      <c r="W395" s="397"/>
      <c r="X395" s="397"/>
      <c r="Y395" s="397"/>
      <c r="Z395" s="397"/>
      <c r="AA395" s="397"/>
      <c r="AB395" s="397"/>
      <c r="AC395" s="397"/>
      <c r="AD395" s="762"/>
      <c r="AH395" s="397"/>
      <c r="AI395" s="397"/>
      <c r="AJ395" s="397"/>
      <c r="AK395" s="397"/>
      <c r="AL395" s="397"/>
      <c r="AM395" s="397"/>
      <c r="AN395" s="397"/>
      <c r="AO395" s="397"/>
      <c r="AP395" s="397"/>
      <c r="AQ395" s="397"/>
      <c r="AR395" s="397"/>
      <c r="AS395" s="397"/>
      <c r="AT395" s="397"/>
      <c r="AU395" s="397"/>
      <c r="AV395" s="397"/>
      <c r="AW395" s="397"/>
      <c r="AX395" s="397"/>
      <c r="AY395" s="397"/>
      <c r="AZ395" s="397"/>
      <c r="BA395" s="397"/>
      <c r="BB395" s="397"/>
      <c r="BC395" s="397"/>
    </row>
    <row r="396" spans="1:55" s="40" customFormat="1" x14ac:dyDescent="0.4">
      <c r="A396" s="50"/>
      <c r="B396" s="1038"/>
      <c r="C396" s="1038"/>
      <c r="D396" s="245"/>
      <c r="F396" s="397"/>
      <c r="G396" s="397"/>
      <c r="H396" s="240"/>
      <c r="I396" s="397"/>
      <c r="J396" s="397"/>
      <c r="K396" s="397"/>
      <c r="L396" s="397"/>
      <c r="M396" s="397"/>
      <c r="N396" s="397"/>
      <c r="O396" s="397"/>
      <c r="P396" s="397"/>
      <c r="Q396" s="397"/>
      <c r="R396" s="397"/>
      <c r="S396" s="397"/>
      <c r="T396" s="397"/>
      <c r="U396" s="397"/>
      <c r="V396" s="397"/>
      <c r="W396" s="397"/>
      <c r="X396" s="397"/>
      <c r="Y396" s="397"/>
      <c r="Z396" s="397"/>
      <c r="AA396" s="397"/>
      <c r="AB396" s="397"/>
      <c r="AC396" s="397"/>
      <c r="AD396" s="762"/>
      <c r="AH396" s="397"/>
      <c r="AI396" s="397"/>
      <c r="AJ396" s="397"/>
      <c r="AK396" s="397"/>
      <c r="AL396" s="397"/>
      <c r="AM396" s="397"/>
      <c r="AN396" s="397"/>
      <c r="AO396" s="397"/>
      <c r="AP396" s="397"/>
      <c r="AQ396" s="397"/>
      <c r="AR396" s="397"/>
      <c r="AS396" s="397"/>
      <c r="AT396" s="397"/>
      <c r="AU396" s="397"/>
      <c r="AV396" s="397"/>
      <c r="AW396" s="397"/>
      <c r="AX396" s="397"/>
      <c r="AY396" s="397"/>
      <c r="AZ396" s="397"/>
      <c r="BA396" s="397"/>
      <c r="BB396" s="397"/>
      <c r="BC396" s="397"/>
    </row>
    <row r="397" spans="1:55" s="40" customFormat="1" x14ac:dyDescent="0.4">
      <c r="A397" s="50"/>
      <c r="B397" s="1038"/>
      <c r="C397" s="1038"/>
      <c r="D397" s="245"/>
      <c r="F397" s="397"/>
      <c r="G397" s="397"/>
      <c r="H397" s="240"/>
      <c r="I397" s="397"/>
      <c r="J397" s="397"/>
      <c r="K397" s="397"/>
      <c r="L397" s="397"/>
      <c r="M397" s="397"/>
      <c r="N397" s="397"/>
      <c r="O397" s="397"/>
      <c r="P397" s="397"/>
      <c r="Q397" s="397"/>
      <c r="R397" s="397"/>
      <c r="S397" s="397"/>
      <c r="T397" s="397"/>
      <c r="U397" s="397"/>
      <c r="V397" s="397"/>
      <c r="W397" s="397"/>
      <c r="X397" s="397"/>
      <c r="Y397" s="397"/>
      <c r="Z397" s="397"/>
      <c r="AA397" s="397"/>
      <c r="AB397" s="397"/>
      <c r="AC397" s="397"/>
      <c r="AD397" s="762"/>
      <c r="AH397" s="397"/>
      <c r="AI397" s="397"/>
      <c r="AJ397" s="397"/>
      <c r="AK397" s="397"/>
      <c r="AL397" s="397"/>
      <c r="AM397" s="397"/>
      <c r="AN397" s="397"/>
      <c r="AO397" s="397"/>
      <c r="AP397" s="397"/>
      <c r="AQ397" s="397"/>
      <c r="AR397" s="397"/>
      <c r="AS397" s="397"/>
      <c r="AT397" s="397"/>
      <c r="AU397" s="397"/>
      <c r="AV397" s="397"/>
      <c r="AW397" s="397"/>
      <c r="AX397" s="397"/>
      <c r="AY397" s="397"/>
      <c r="AZ397" s="397"/>
      <c r="BA397" s="397"/>
      <c r="BB397" s="397"/>
      <c r="BC397" s="397"/>
    </row>
    <row r="398" spans="1:55" s="40" customFormat="1" x14ac:dyDescent="0.4">
      <c r="A398" s="50"/>
      <c r="B398" s="1038"/>
      <c r="C398" s="1038"/>
      <c r="D398" s="245"/>
      <c r="F398" s="397"/>
      <c r="G398" s="397"/>
      <c r="H398" s="240"/>
      <c r="I398" s="397"/>
      <c r="J398" s="397"/>
      <c r="K398" s="397"/>
      <c r="L398" s="397"/>
      <c r="M398" s="397"/>
      <c r="N398" s="397"/>
      <c r="O398" s="397"/>
      <c r="P398" s="397"/>
      <c r="Q398" s="397"/>
      <c r="R398" s="397"/>
      <c r="S398" s="397"/>
      <c r="T398" s="397"/>
      <c r="U398" s="397"/>
      <c r="V398" s="397"/>
      <c r="W398" s="397"/>
      <c r="X398" s="397"/>
      <c r="Y398" s="397"/>
      <c r="Z398" s="397"/>
      <c r="AA398" s="397"/>
      <c r="AB398" s="397"/>
      <c r="AC398" s="397"/>
      <c r="AD398" s="762"/>
      <c r="AH398" s="397"/>
      <c r="AI398" s="397"/>
      <c r="AJ398" s="397"/>
      <c r="AK398" s="397"/>
      <c r="AL398" s="397"/>
      <c r="AM398" s="397"/>
      <c r="AN398" s="397"/>
      <c r="AO398" s="397"/>
      <c r="AP398" s="397"/>
      <c r="AQ398" s="397"/>
      <c r="AR398" s="397"/>
      <c r="AS398" s="397"/>
      <c r="AT398" s="397"/>
      <c r="AU398" s="397"/>
      <c r="AV398" s="397"/>
      <c r="AW398" s="397"/>
      <c r="AX398" s="397"/>
      <c r="AY398" s="397"/>
      <c r="AZ398" s="397"/>
      <c r="BA398" s="397"/>
      <c r="BB398" s="397"/>
      <c r="BC398" s="397"/>
    </row>
    <row r="399" spans="1:55" s="40" customFormat="1" x14ac:dyDescent="0.4">
      <c r="A399" s="50"/>
      <c r="B399" s="1038"/>
      <c r="C399" s="1038"/>
      <c r="D399" s="245"/>
      <c r="F399" s="397"/>
      <c r="G399" s="397"/>
      <c r="H399" s="240"/>
      <c r="I399" s="397"/>
      <c r="J399" s="397"/>
      <c r="K399" s="397"/>
      <c r="L399" s="397"/>
      <c r="M399" s="397"/>
      <c r="N399" s="397"/>
      <c r="O399" s="397"/>
      <c r="P399" s="397"/>
      <c r="Q399" s="397"/>
      <c r="R399" s="397"/>
      <c r="S399" s="397"/>
      <c r="T399" s="397"/>
      <c r="U399" s="397"/>
      <c r="V399" s="397"/>
      <c r="W399" s="397"/>
      <c r="X399" s="397"/>
      <c r="Y399" s="397"/>
      <c r="Z399" s="397"/>
      <c r="AA399" s="397"/>
      <c r="AB399" s="397"/>
      <c r="AC399" s="397"/>
      <c r="AD399" s="762"/>
      <c r="AH399" s="397"/>
      <c r="AI399" s="397"/>
      <c r="AJ399" s="397"/>
      <c r="AK399" s="397"/>
      <c r="AL399" s="397"/>
      <c r="AM399" s="397"/>
      <c r="AN399" s="397"/>
      <c r="AO399" s="397"/>
      <c r="AP399" s="397"/>
      <c r="AQ399" s="397"/>
      <c r="AR399" s="397"/>
      <c r="AS399" s="397"/>
      <c r="AT399" s="397"/>
      <c r="AU399" s="397"/>
      <c r="AV399" s="397"/>
      <c r="AW399" s="397"/>
      <c r="AX399" s="397"/>
      <c r="AY399" s="397"/>
      <c r="AZ399" s="397"/>
      <c r="BA399" s="397"/>
      <c r="BB399" s="397"/>
      <c r="BC399" s="397"/>
    </row>
    <row r="400" spans="1:55" s="40" customFormat="1" x14ac:dyDescent="0.4">
      <c r="A400" s="50"/>
      <c r="B400" s="1038"/>
      <c r="C400" s="1038"/>
      <c r="D400" s="245"/>
      <c r="F400" s="397"/>
      <c r="G400" s="397"/>
      <c r="H400" s="240"/>
      <c r="I400" s="397"/>
      <c r="J400" s="397"/>
      <c r="K400" s="397"/>
      <c r="L400" s="397"/>
      <c r="M400" s="397"/>
      <c r="N400" s="397"/>
      <c r="O400" s="397"/>
      <c r="P400" s="397"/>
      <c r="Q400" s="397"/>
      <c r="R400" s="397"/>
      <c r="S400" s="397"/>
      <c r="T400" s="397"/>
      <c r="U400" s="397"/>
      <c r="V400" s="397"/>
      <c r="W400" s="397"/>
      <c r="X400" s="397"/>
      <c r="Y400" s="397"/>
      <c r="Z400" s="397"/>
      <c r="AA400" s="397"/>
      <c r="AB400" s="397"/>
      <c r="AC400" s="397"/>
      <c r="AD400" s="762"/>
      <c r="AH400" s="397"/>
      <c r="AI400" s="397"/>
      <c r="AJ400" s="397"/>
      <c r="AK400" s="397"/>
      <c r="AL400" s="397"/>
      <c r="AM400" s="397"/>
      <c r="AN400" s="397"/>
      <c r="AO400" s="397"/>
      <c r="AP400" s="397"/>
      <c r="AQ400" s="397"/>
      <c r="AR400" s="397"/>
      <c r="AS400" s="397"/>
      <c r="AT400" s="397"/>
      <c r="AU400" s="397"/>
      <c r="AV400" s="397"/>
      <c r="AW400" s="397"/>
      <c r="AX400" s="397"/>
      <c r="AY400" s="397"/>
      <c r="AZ400" s="397"/>
      <c r="BA400" s="397"/>
      <c r="BB400" s="397"/>
      <c r="BC400" s="397"/>
    </row>
    <row r="401" spans="1:55" s="40" customFormat="1" x14ac:dyDescent="0.4">
      <c r="A401" s="50"/>
      <c r="B401" s="1038"/>
      <c r="C401" s="1038"/>
      <c r="D401" s="245"/>
      <c r="F401" s="397"/>
      <c r="G401" s="397"/>
      <c r="H401" s="240"/>
      <c r="I401" s="397"/>
      <c r="J401" s="397"/>
      <c r="K401" s="397"/>
      <c r="L401" s="397"/>
      <c r="M401" s="397"/>
      <c r="N401" s="397"/>
      <c r="O401" s="397"/>
      <c r="P401" s="397"/>
      <c r="Q401" s="397"/>
      <c r="R401" s="397"/>
      <c r="S401" s="397"/>
      <c r="T401" s="397"/>
      <c r="U401" s="397"/>
      <c r="V401" s="397"/>
      <c r="W401" s="397"/>
      <c r="X401" s="397"/>
      <c r="Y401" s="397"/>
      <c r="Z401" s="397"/>
      <c r="AA401" s="397"/>
      <c r="AB401" s="397"/>
      <c r="AC401" s="397"/>
      <c r="AD401" s="762"/>
      <c r="AH401" s="397"/>
      <c r="AI401" s="397"/>
      <c r="AJ401" s="397"/>
      <c r="AK401" s="397"/>
      <c r="AL401" s="397"/>
      <c r="AM401" s="397"/>
      <c r="AN401" s="397"/>
      <c r="AO401" s="397"/>
      <c r="AP401" s="397"/>
      <c r="AQ401" s="397"/>
      <c r="AR401" s="397"/>
      <c r="AS401" s="397"/>
      <c r="AT401" s="397"/>
      <c r="AU401" s="397"/>
      <c r="AV401" s="397"/>
      <c r="AW401" s="397"/>
      <c r="AX401" s="397"/>
      <c r="AY401" s="397"/>
      <c r="AZ401" s="397"/>
      <c r="BA401" s="397"/>
      <c r="BB401" s="397"/>
      <c r="BC401" s="397"/>
    </row>
    <row r="402" spans="1:55" s="40" customFormat="1" x14ac:dyDescent="0.4">
      <c r="A402" s="50"/>
      <c r="B402" s="1038"/>
      <c r="C402" s="1038"/>
      <c r="D402" s="245"/>
      <c r="F402" s="397"/>
      <c r="G402" s="397"/>
      <c r="H402" s="240"/>
      <c r="I402" s="397"/>
      <c r="J402" s="397"/>
      <c r="K402" s="397"/>
      <c r="L402" s="397"/>
      <c r="M402" s="397"/>
      <c r="N402" s="397"/>
      <c r="O402" s="397"/>
      <c r="P402" s="397"/>
      <c r="Q402" s="397"/>
      <c r="R402" s="397"/>
      <c r="S402" s="397"/>
      <c r="T402" s="397"/>
      <c r="U402" s="397"/>
      <c r="V402" s="397"/>
      <c r="W402" s="397"/>
      <c r="X402" s="397"/>
      <c r="Y402" s="397"/>
      <c r="Z402" s="397"/>
      <c r="AA402" s="397"/>
      <c r="AB402" s="397"/>
      <c r="AC402" s="397"/>
      <c r="AD402" s="762"/>
      <c r="AH402" s="397"/>
      <c r="AI402" s="397"/>
      <c r="AJ402" s="397"/>
      <c r="AK402" s="397"/>
      <c r="AL402" s="397"/>
      <c r="AM402" s="397"/>
      <c r="AN402" s="397"/>
      <c r="AO402" s="397"/>
      <c r="AP402" s="397"/>
      <c r="AQ402" s="397"/>
      <c r="AR402" s="397"/>
      <c r="AS402" s="397"/>
      <c r="AT402" s="397"/>
      <c r="AU402" s="397"/>
      <c r="AV402" s="397"/>
      <c r="AW402" s="397"/>
      <c r="AX402" s="397"/>
      <c r="AY402" s="397"/>
      <c r="AZ402" s="397"/>
      <c r="BA402" s="397"/>
      <c r="BB402" s="397"/>
      <c r="BC402" s="397"/>
    </row>
    <row r="403" spans="1:55" s="40" customFormat="1" x14ac:dyDescent="0.4">
      <c r="A403" s="50"/>
      <c r="B403" s="1038"/>
      <c r="C403" s="1038"/>
      <c r="D403" s="245"/>
      <c r="F403" s="397"/>
      <c r="G403" s="397"/>
      <c r="H403" s="240"/>
      <c r="I403" s="397"/>
      <c r="J403" s="397"/>
      <c r="K403" s="397"/>
      <c r="L403" s="397"/>
      <c r="M403" s="397"/>
      <c r="N403" s="397"/>
      <c r="O403" s="397"/>
      <c r="P403" s="397"/>
      <c r="Q403" s="397"/>
      <c r="R403" s="397"/>
      <c r="S403" s="397"/>
      <c r="T403" s="397"/>
      <c r="U403" s="397"/>
      <c r="V403" s="397"/>
      <c r="W403" s="397"/>
      <c r="X403" s="397"/>
      <c r="Y403" s="397"/>
      <c r="Z403" s="397"/>
      <c r="AA403" s="397"/>
      <c r="AB403" s="397"/>
      <c r="AC403" s="397"/>
      <c r="AD403" s="762"/>
      <c r="AH403" s="397"/>
      <c r="AI403" s="397"/>
      <c r="AJ403" s="397"/>
      <c r="AK403" s="397"/>
      <c r="AL403" s="397"/>
      <c r="AM403" s="397"/>
      <c r="AN403" s="397"/>
      <c r="AO403" s="397"/>
      <c r="AP403" s="397"/>
      <c r="AQ403" s="397"/>
      <c r="AR403" s="397"/>
      <c r="AS403" s="397"/>
      <c r="AT403" s="397"/>
      <c r="AU403" s="397"/>
      <c r="AV403" s="397"/>
      <c r="AW403" s="397"/>
      <c r="AX403" s="397"/>
      <c r="AY403" s="397"/>
      <c r="AZ403" s="397"/>
      <c r="BA403" s="397"/>
      <c r="BB403" s="397"/>
      <c r="BC403" s="397"/>
    </row>
    <row r="404" spans="1:55" s="40" customFormat="1" x14ac:dyDescent="0.4">
      <c r="A404" s="50"/>
      <c r="B404" s="1038"/>
      <c r="C404" s="1038"/>
      <c r="D404" s="245"/>
      <c r="F404" s="397"/>
      <c r="G404" s="397"/>
      <c r="H404" s="240"/>
      <c r="I404" s="397"/>
      <c r="J404" s="397"/>
      <c r="K404" s="397"/>
      <c r="L404" s="397"/>
      <c r="M404" s="397"/>
      <c r="N404" s="397"/>
      <c r="O404" s="397"/>
      <c r="P404" s="397"/>
      <c r="Q404" s="397"/>
      <c r="R404" s="397"/>
      <c r="S404" s="397"/>
      <c r="T404" s="397"/>
      <c r="U404" s="397"/>
      <c r="V404" s="397"/>
      <c r="W404" s="397"/>
      <c r="X404" s="397"/>
      <c r="Y404" s="397"/>
      <c r="Z404" s="397"/>
      <c r="AA404" s="397"/>
      <c r="AB404" s="397"/>
      <c r="AC404" s="397"/>
      <c r="AD404" s="762"/>
      <c r="AH404" s="397"/>
      <c r="AI404" s="397"/>
      <c r="AJ404" s="397"/>
      <c r="AK404" s="397"/>
      <c r="AL404" s="397"/>
      <c r="AM404" s="397"/>
      <c r="AN404" s="397"/>
      <c r="AO404" s="397"/>
      <c r="AP404" s="397"/>
      <c r="AQ404" s="397"/>
      <c r="AR404" s="397"/>
      <c r="AS404" s="397"/>
      <c r="AT404" s="397"/>
      <c r="AU404" s="397"/>
      <c r="AV404" s="397"/>
      <c r="AW404" s="397"/>
      <c r="AX404" s="397"/>
      <c r="AY404" s="397"/>
      <c r="AZ404" s="397"/>
      <c r="BA404" s="397"/>
      <c r="BB404" s="397"/>
      <c r="BC404" s="397"/>
    </row>
    <row r="405" spans="1:55" s="40" customFormat="1" x14ac:dyDescent="0.4">
      <c r="A405" s="50"/>
      <c r="B405" s="1038"/>
      <c r="C405" s="1038"/>
      <c r="D405" s="245"/>
      <c r="F405" s="397"/>
      <c r="G405" s="397"/>
      <c r="H405" s="240"/>
      <c r="I405" s="397"/>
      <c r="J405" s="397"/>
      <c r="K405" s="397"/>
      <c r="L405" s="397"/>
      <c r="M405" s="397"/>
      <c r="N405" s="397"/>
      <c r="O405" s="397"/>
      <c r="P405" s="397"/>
      <c r="Q405" s="397"/>
      <c r="R405" s="397"/>
      <c r="S405" s="397"/>
      <c r="T405" s="397"/>
      <c r="U405" s="397"/>
      <c r="V405" s="397"/>
      <c r="W405" s="397"/>
      <c r="X405" s="397"/>
      <c r="Y405" s="397"/>
      <c r="Z405" s="397"/>
      <c r="AA405" s="397"/>
      <c r="AB405" s="397"/>
      <c r="AC405" s="397"/>
      <c r="AD405" s="762"/>
      <c r="AH405" s="397"/>
      <c r="AI405" s="397"/>
      <c r="AJ405" s="397"/>
      <c r="AK405" s="397"/>
      <c r="AL405" s="397"/>
      <c r="AM405" s="397"/>
      <c r="AN405" s="397"/>
      <c r="AO405" s="397"/>
      <c r="AP405" s="397"/>
      <c r="AQ405" s="397"/>
      <c r="AR405" s="397"/>
      <c r="AS405" s="397"/>
      <c r="AT405" s="397"/>
      <c r="AU405" s="397"/>
      <c r="AV405" s="397"/>
      <c r="AW405" s="397"/>
      <c r="AX405" s="397"/>
      <c r="AY405" s="397"/>
      <c r="AZ405" s="397"/>
      <c r="BA405" s="397"/>
      <c r="BB405" s="397"/>
      <c r="BC405" s="397"/>
    </row>
    <row r="406" spans="1:55" s="40" customFormat="1" x14ac:dyDescent="0.4">
      <c r="A406" s="50"/>
      <c r="B406" s="1038"/>
      <c r="C406" s="1038"/>
      <c r="D406" s="245"/>
      <c r="F406" s="397"/>
      <c r="G406" s="397"/>
      <c r="H406" s="240"/>
      <c r="I406" s="397"/>
      <c r="J406" s="397"/>
      <c r="K406" s="397"/>
      <c r="L406" s="397"/>
      <c r="M406" s="397"/>
      <c r="N406" s="397"/>
      <c r="O406" s="397"/>
      <c r="P406" s="397"/>
      <c r="Q406" s="397"/>
      <c r="R406" s="397"/>
      <c r="S406" s="397"/>
      <c r="T406" s="397"/>
      <c r="U406" s="397"/>
      <c r="V406" s="397"/>
      <c r="W406" s="397"/>
      <c r="X406" s="397"/>
      <c r="Y406" s="397"/>
      <c r="Z406" s="397"/>
      <c r="AA406" s="397"/>
      <c r="AB406" s="397"/>
      <c r="AC406" s="397"/>
      <c r="AD406" s="762"/>
      <c r="AH406" s="397"/>
      <c r="AI406" s="397"/>
      <c r="AJ406" s="397"/>
      <c r="AK406" s="397"/>
      <c r="AL406" s="397"/>
      <c r="AM406" s="397"/>
      <c r="AN406" s="397"/>
      <c r="AO406" s="397"/>
      <c r="AP406" s="397"/>
      <c r="AQ406" s="397"/>
      <c r="AR406" s="397"/>
      <c r="AS406" s="397"/>
      <c r="AT406" s="397"/>
      <c r="AU406" s="397"/>
      <c r="AV406" s="397"/>
      <c r="AW406" s="397"/>
      <c r="AX406" s="397"/>
      <c r="AY406" s="397"/>
      <c r="AZ406" s="397"/>
      <c r="BA406" s="397"/>
      <c r="BB406" s="397"/>
      <c r="BC406" s="397"/>
    </row>
    <row r="407" spans="1:55" s="40" customFormat="1" x14ac:dyDescent="0.4">
      <c r="A407" s="50"/>
      <c r="B407" s="1038"/>
      <c r="C407" s="1038"/>
      <c r="D407" s="245"/>
      <c r="F407" s="397"/>
      <c r="G407" s="397"/>
      <c r="H407" s="240"/>
      <c r="I407" s="397"/>
      <c r="J407" s="397"/>
      <c r="K407" s="397"/>
      <c r="L407" s="397"/>
      <c r="M407" s="397"/>
      <c r="N407" s="397"/>
      <c r="O407" s="397"/>
      <c r="P407" s="397"/>
      <c r="Q407" s="397"/>
      <c r="R407" s="397"/>
      <c r="S407" s="397"/>
      <c r="T407" s="397"/>
      <c r="U407" s="397"/>
      <c r="V407" s="397"/>
      <c r="W407" s="397"/>
      <c r="X407" s="397"/>
      <c r="Y407" s="397"/>
      <c r="Z407" s="397"/>
      <c r="AA407" s="397"/>
      <c r="AB407" s="397"/>
      <c r="AC407" s="397"/>
      <c r="AD407" s="762"/>
      <c r="AH407" s="397"/>
      <c r="AI407" s="397"/>
      <c r="AJ407" s="397"/>
      <c r="AK407" s="397"/>
      <c r="AL407" s="397"/>
      <c r="AM407" s="397"/>
      <c r="AN407" s="397"/>
      <c r="AO407" s="397"/>
      <c r="AP407" s="397"/>
      <c r="AQ407" s="397"/>
      <c r="AR407" s="397"/>
      <c r="AS407" s="397"/>
      <c r="AT407" s="397"/>
      <c r="AU407" s="397"/>
      <c r="AV407" s="397"/>
      <c r="AW407" s="397"/>
      <c r="AX407" s="397"/>
      <c r="AY407" s="397"/>
      <c r="AZ407" s="397"/>
      <c r="BA407" s="397"/>
      <c r="BB407" s="397"/>
      <c r="BC407" s="397"/>
    </row>
    <row r="408" spans="1:55" s="40" customFormat="1" x14ac:dyDescent="0.4">
      <c r="A408" s="50"/>
      <c r="B408" s="1038"/>
      <c r="C408" s="1038"/>
      <c r="D408" s="245"/>
      <c r="F408" s="397"/>
      <c r="G408" s="397"/>
      <c r="H408" s="240"/>
      <c r="I408" s="397"/>
      <c r="J408" s="397"/>
      <c r="K408" s="397"/>
      <c r="L408" s="397"/>
      <c r="M408" s="397"/>
      <c r="N408" s="397"/>
      <c r="O408" s="397"/>
      <c r="P408" s="397"/>
      <c r="Q408" s="397"/>
      <c r="R408" s="397"/>
      <c r="S408" s="397"/>
      <c r="T408" s="397"/>
      <c r="U408" s="397"/>
      <c r="V408" s="397"/>
      <c r="W408" s="397"/>
      <c r="X408" s="397"/>
      <c r="Y408" s="397"/>
      <c r="Z408" s="397"/>
      <c r="AA408" s="397"/>
      <c r="AB408" s="397"/>
      <c r="AC408" s="397"/>
      <c r="AD408" s="762"/>
      <c r="AH408" s="397"/>
      <c r="AI408" s="397"/>
      <c r="AJ408" s="397"/>
      <c r="AK408" s="397"/>
      <c r="AL408" s="397"/>
      <c r="AM408" s="397"/>
      <c r="AN408" s="397"/>
      <c r="AO408" s="397"/>
      <c r="AP408" s="397"/>
      <c r="AQ408" s="397"/>
      <c r="AR408" s="397"/>
      <c r="AS408" s="397"/>
      <c r="AT408" s="397"/>
      <c r="AU408" s="397"/>
      <c r="AV408" s="397"/>
      <c r="AW408" s="397"/>
      <c r="AX408" s="397"/>
      <c r="AY408" s="397"/>
      <c r="AZ408" s="397"/>
      <c r="BA408" s="397"/>
      <c r="BB408" s="397"/>
      <c r="BC408" s="397"/>
    </row>
    <row r="409" spans="1:55" s="40" customFormat="1" x14ac:dyDescent="0.4">
      <c r="A409" s="50"/>
      <c r="B409" s="1038"/>
      <c r="C409" s="1038"/>
      <c r="D409" s="245"/>
      <c r="F409" s="397"/>
      <c r="G409" s="397"/>
      <c r="H409" s="240"/>
      <c r="I409" s="397"/>
      <c r="J409" s="397"/>
      <c r="K409" s="397"/>
      <c r="L409" s="397"/>
      <c r="M409" s="397"/>
      <c r="N409" s="397"/>
      <c r="O409" s="397"/>
      <c r="P409" s="397"/>
      <c r="Q409" s="397"/>
      <c r="R409" s="397"/>
      <c r="S409" s="397"/>
      <c r="T409" s="397"/>
      <c r="U409" s="397"/>
      <c r="V409" s="397"/>
      <c r="W409" s="397"/>
      <c r="X409" s="397"/>
      <c r="Y409" s="397"/>
      <c r="Z409" s="397"/>
      <c r="AA409" s="397"/>
      <c r="AB409" s="397"/>
      <c r="AC409" s="397"/>
      <c r="AD409" s="762"/>
      <c r="AH409" s="397"/>
      <c r="AI409" s="397"/>
      <c r="AJ409" s="397"/>
      <c r="AK409" s="397"/>
      <c r="AL409" s="397"/>
      <c r="AM409" s="397"/>
      <c r="AN409" s="397"/>
      <c r="AO409" s="397"/>
      <c r="AP409" s="397"/>
      <c r="AQ409" s="397"/>
      <c r="AR409" s="397"/>
      <c r="AS409" s="397"/>
      <c r="AT409" s="397"/>
      <c r="AU409" s="397"/>
      <c r="AV409" s="397"/>
      <c r="AW409" s="397"/>
      <c r="AX409" s="397"/>
      <c r="AY409" s="397"/>
      <c r="AZ409" s="397"/>
      <c r="BA409" s="397"/>
      <c r="BB409" s="397"/>
      <c r="BC409" s="397"/>
    </row>
    <row r="410" spans="1:55" s="40" customFormat="1" x14ac:dyDescent="0.4">
      <c r="A410" s="50"/>
      <c r="B410" s="1038"/>
      <c r="C410" s="1038"/>
      <c r="D410" s="245"/>
      <c r="F410" s="397"/>
      <c r="G410" s="397"/>
      <c r="H410" s="240"/>
      <c r="I410" s="397"/>
      <c r="J410" s="397"/>
      <c r="K410" s="397"/>
      <c r="L410" s="397"/>
      <c r="M410" s="397"/>
      <c r="N410" s="397"/>
      <c r="O410" s="397"/>
      <c r="P410" s="397"/>
      <c r="Q410" s="397"/>
      <c r="R410" s="397"/>
      <c r="S410" s="397"/>
      <c r="T410" s="397"/>
      <c r="U410" s="397"/>
      <c r="V410" s="397"/>
      <c r="W410" s="397"/>
      <c r="X410" s="397"/>
      <c r="Y410" s="397"/>
      <c r="Z410" s="397"/>
      <c r="AA410" s="397"/>
      <c r="AB410" s="397"/>
      <c r="AC410" s="397"/>
      <c r="AD410" s="762"/>
      <c r="AH410" s="397"/>
      <c r="AI410" s="397"/>
      <c r="AJ410" s="397"/>
      <c r="AK410" s="397"/>
      <c r="AL410" s="397"/>
      <c r="AM410" s="397"/>
      <c r="AN410" s="397"/>
      <c r="AO410" s="397"/>
      <c r="AP410" s="397"/>
      <c r="AQ410" s="397"/>
      <c r="AR410" s="397"/>
      <c r="AS410" s="397"/>
      <c r="AT410" s="397"/>
      <c r="AU410" s="397"/>
      <c r="AV410" s="397"/>
      <c r="AW410" s="397"/>
      <c r="AX410" s="397"/>
      <c r="AY410" s="397"/>
      <c r="AZ410" s="397"/>
      <c r="BA410" s="397"/>
      <c r="BB410" s="397"/>
      <c r="BC410" s="397"/>
    </row>
    <row r="411" spans="1:55" s="40" customFormat="1" x14ac:dyDescent="0.4">
      <c r="A411" s="50"/>
      <c r="B411" s="1038"/>
      <c r="C411" s="1038"/>
      <c r="D411" s="245"/>
      <c r="F411" s="397"/>
      <c r="G411" s="397"/>
      <c r="H411" s="240"/>
      <c r="I411" s="397"/>
      <c r="J411" s="397"/>
      <c r="K411" s="397"/>
      <c r="L411" s="397"/>
      <c r="M411" s="397"/>
      <c r="N411" s="397"/>
      <c r="O411" s="397"/>
      <c r="P411" s="397"/>
      <c r="Q411" s="397"/>
      <c r="R411" s="397"/>
      <c r="S411" s="397"/>
      <c r="T411" s="397"/>
      <c r="U411" s="397"/>
      <c r="V411" s="397"/>
      <c r="W411" s="397"/>
      <c r="X411" s="397"/>
      <c r="Y411" s="397"/>
      <c r="Z411" s="397"/>
      <c r="AA411" s="397"/>
      <c r="AB411" s="397"/>
      <c r="AC411" s="397"/>
      <c r="AD411" s="762"/>
      <c r="AH411" s="397"/>
      <c r="AI411" s="397"/>
      <c r="AJ411" s="397"/>
      <c r="AK411" s="397"/>
      <c r="AL411" s="397"/>
      <c r="AM411" s="397"/>
      <c r="AN411" s="397"/>
      <c r="AO411" s="397"/>
      <c r="AP411" s="397"/>
      <c r="AQ411" s="397"/>
      <c r="AR411" s="397"/>
      <c r="AS411" s="397"/>
      <c r="AT411" s="397"/>
      <c r="AU411" s="397"/>
      <c r="AV411" s="397"/>
      <c r="AW411" s="397"/>
      <c r="AX411" s="397"/>
      <c r="AY411" s="397"/>
      <c r="AZ411" s="397"/>
      <c r="BA411" s="397"/>
      <c r="BB411" s="397"/>
      <c r="BC411" s="397"/>
    </row>
    <row r="412" spans="1:55" s="40" customFormat="1" x14ac:dyDescent="0.4">
      <c r="A412" s="50"/>
      <c r="B412" s="1038"/>
      <c r="C412" s="1038"/>
      <c r="D412" s="245"/>
      <c r="F412" s="397"/>
      <c r="G412" s="397"/>
      <c r="H412" s="240"/>
      <c r="I412" s="397"/>
      <c r="J412" s="397"/>
      <c r="K412" s="397"/>
      <c r="L412" s="397"/>
      <c r="M412" s="397"/>
      <c r="N412" s="397"/>
      <c r="O412" s="397"/>
      <c r="P412" s="397"/>
      <c r="Q412" s="397"/>
      <c r="R412" s="397"/>
      <c r="S412" s="397"/>
      <c r="T412" s="397"/>
      <c r="U412" s="397"/>
      <c r="V412" s="397"/>
      <c r="W412" s="397"/>
      <c r="X412" s="397"/>
      <c r="Y412" s="397"/>
      <c r="Z412" s="397"/>
      <c r="AA412" s="397"/>
      <c r="AB412" s="397"/>
      <c r="AC412" s="397"/>
      <c r="AD412" s="762"/>
      <c r="AH412" s="397"/>
      <c r="AI412" s="397"/>
      <c r="AJ412" s="397"/>
      <c r="AK412" s="397"/>
      <c r="AL412" s="397"/>
      <c r="AM412" s="397"/>
      <c r="AN412" s="397"/>
      <c r="AO412" s="397"/>
      <c r="AP412" s="397"/>
      <c r="AQ412" s="397"/>
      <c r="AR412" s="397"/>
      <c r="AS412" s="397"/>
      <c r="AT412" s="397"/>
      <c r="AU412" s="397"/>
      <c r="AV412" s="397"/>
      <c r="AW412" s="397"/>
      <c r="AX412" s="397"/>
      <c r="AY412" s="397"/>
      <c r="AZ412" s="397"/>
      <c r="BA412" s="397"/>
      <c r="BB412" s="397"/>
      <c r="BC412" s="397"/>
    </row>
    <row r="413" spans="1:55" s="40" customFormat="1" x14ac:dyDescent="0.4">
      <c r="A413" s="50"/>
      <c r="B413" s="1038"/>
      <c r="C413" s="1038"/>
      <c r="D413" s="245"/>
      <c r="F413" s="397"/>
      <c r="G413" s="397"/>
      <c r="H413" s="240"/>
      <c r="I413" s="397"/>
      <c r="J413" s="397"/>
      <c r="K413" s="397"/>
      <c r="L413" s="397"/>
      <c r="M413" s="397"/>
      <c r="N413" s="397"/>
      <c r="O413" s="397"/>
      <c r="P413" s="397"/>
      <c r="Q413" s="397"/>
      <c r="R413" s="397"/>
      <c r="S413" s="397"/>
      <c r="T413" s="397"/>
      <c r="U413" s="397"/>
      <c r="V413" s="397"/>
      <c r="W413" s="397"/>
      <c r="X413" s="397"/>
      <c r="Y413" s="397"/>
      <c r="Z413" s="397"/>
      <c r="AA413" s="397"/>
      <c r="AB413" s="397"/>
      <c r="AC413" s="397"/>
      <c r="AD413" s="762"/>
      <c r="AH413" s="397"/>
      <c r="AI413" s="397"/>
      <c r="AJ413" s="397"/>
      <c r="AK413" s="397"/>
      <c r="AL413" s="397"/>
      <c r="AM413" s="397"/>
      <c r="AN413" s="397"/>
      <c r="AO413" s="397"/>
      <c r="AP413" s="397"/>
      <c r="AQ413" s="397"/>
      <c r="AR413" s="397"/>
      <c r="AS413" s="397"/>
      <c r="AT413" s="397"/>
      <c r="AU413" s="397"/>
      <c r="AV413" s="397"/>
      <c r="AW413" s="397"/>
      <c r="AX413" s="397"/>
      <c r="AY413" s="397"/>
      <c r="AZ413" s="397"/>
      <c r="BA413" s="397"/>
      <c r="BB413" s="397"/>
      <c r="BC413" s="397"/>
    </row>
    <row r="414" spans="1:55" s="40" customFormat="1" x14ac:dyDescent="0.4">
      <c r="A414" s="50"/>
      <c r="B414" s="1038"/>
      <c r="C414" s="1038"/>
      <c r="D414" s="245" t="s">
        <v>48</v>
      </c>
      <c r="F414" s="397"/>
      <c r="G414" s="397"/>
      <c r="H414" s="240"/>
      <c r="I414" s="397"/>
      <c r="J414" s="397"/>
      <c r="K414" s="397"/>
      <c r="L414" s="397"/>
      <c r="M414" s="397"/>
      <c r="N414" s="397"/>
      <c r="O414" s="397"/>
      <c r="P414" s="397"/>
      <c r="Q414" s="397"/>
      <c r="R414" s="397"/>
      <c r="S414" s="397"/>
      <c r="T414" s="397"/>
      <c r="U414" s="397"/>
      <c r="V414" s="397"/>
      <c r="W414" s="397"/>
      <c r="X414" s="397"/>
      <c r="Y414" s="397"/>
      <c r="Z414" s="397"/>
      <c r="AA414" s="397"/>
      <c r="AB414" s="397"/>
      <c r="AC414" s="397"/>
      <c r="AD414" s="762"/>
      <c r="AH414" s="397"/>
      <c r="AI414" s="397"/>
      <c r="AJ414" s="397"/>
      <c r="AK414" s="397"/>
      <c r="AL414" s="397"/>
      <c r="AM414" s="397"/>
      <c r="AN414" s="397"/>
      <c r="AO414" s="397"/>
      <c r="AP414" s="397"/>
      <c r="AQ414" s="397"/>
      <c r="AR414" s="397"/>
      <c r="AS414" s="397"/>
      <c r="AT414" s="397"/>
      <c r="AU414" s="397"/>
      <c r="AV414" s="397"/>
      <c r="AW414" s="397"/>
      <c r="AX414" s="397"/>
      <c r="AY414" s="397"/>
      <c r="AZ414" s="397"/>
      <c r="BA414" s="397"/>
      <c r="BB414" s="397"/>
      <c r="BC414" s="397"/>
    </row>
    <row r="415" spans="1:55" s="40" customFormat="1" x14ac:dyDescent="0.4">
      <c r="A415" s="50"/>
      <c r="B415" s="1038"/>
      <c r="C415" s="1038"/>
      <c r="D415" s="245" t="s">
        <v>48</v>
      </c>
      <c r="F415" s="397"/>
      <c r="G415" s="397"/>
      <c r="H415" s="240"/>
      <c r="I415" s="397"/>
      <c r="J415" s="397"/>
      <c r="K415" s="397"/>
      <c r="L415" s="397"/>
      <c r="M415" s="397"/>
      <c r="N415" s="397"/>
      <c r="O415" s="397"/>
      <c r="P415" s="397"/>
      <c r="Q415" s="397"/>
      <c r="R415" s="397"/>
      <c r="S415" s="397"/>
      <c r="T415" s="397"/>
      <c r="U415" s="397"/>
      <c r="V415" s="397"/>
      <c r="W415" s="397"/>
      <c r="X415" s="397"/>
      <c r="Y415" s="397"/>
      <c r="Z415" s="397"/>
      <c r="AA415" s="397"/>
      <c r="AB415" s="397"/>
      <c r="AC415" s="397"/>
      <c r="AD415" s="762"/>
      <c r="AH415" s="397"/>
      <c r="AI415" s="397"/>
      <c r="AJ415" s="397"/>
      <c r="AK415" s="397"/>
      <c r="AL415" s="397"/>
      <c r="AM415" s="397"/>
      <c r="AN415" s="397"/>
      <c r="AO415" s="397"/>
      <c r="AP415" s="397"/>
      <c r="AQ415" s="397"/>
      <c r="AR415" s="397"/>
      <c r="AS415" s="397"/>
      <c r="AT415" s="397"/>
      <c r="AU415" s="397"/>
      <c r="AV415" s="397"/>
      <c r="AW415" s="397"/>
      <c r="AX415" s="397"/>
      <c r="AY415" s="397"/>
      <c r="AZ415" s="397"/>
      <c r="BA415" s="397"/>
      <c r="BB415" s="397"/>
      <c r="BC415" s="397"/>
    </row>
    <row r="416" spans="1:55" s="40" customFormat="1" x14ac:dyDescent="0.4">
      <c r="A416" s="50"/>
      <c r="B416" s="1038"/>
      <c r="C416" s="1038"/>
      <c r="D416" s="245" t="s">
        <v>48</v>
      </c>
      <c r="F416" s="397"/>
      <c r="G416" s="397"/>
      <c r="H416" s="240"/>
      <c r="I416" s="397"/>
      <c r="J416" s="397"/>
      <c r="K416" s="397"/>
      <c r="L416" s="397"/>
      <c r="M416" s="397"/>
      <c r="N416" s="397"/>
      <c r="O416" s="397"/>
      <c r="P416" s="397"/>
      <c r="Q416" s="397"/>
      <c r="R416" s="397"/>
      <c r="S416" s="397"/>
      <c r="T416" s="397"/>
      <c r="U416" s="397"/>
      <c r="V416" s="397"/>
      <c r="W416" s="397"/>
      <c r="X416" s="397"/>
      <c r="Y416" s="397"/>
      <c r="Z416" s="397"/>
      <c r="AA416" s="397"/>
      <c r="AB416" s="397"/>
      <c r="AC416" s="397"/>
      <c r="AD416" s="762"/>
      <c r="AH416" s="397"/>
      <c r="AI416" s="397"/>
      <c r="AJ416" s="397"/>
      <c r="AK416" s="397"/>
      <c r="AL416" s="397"/>
      <c r="AM416" s="397"/>
      <c r="AN416" s="397"/>
      <c r="AO416" s="397"/>
      <c r="AP416" s="397"/>
      <c r="AQ416" s="397"/>
      <c r="AR416" s="397"/>
      <c r="AS416" s="397"/>
      <c r="AT416" s="397"/>
      <c r="AU416" s="397"/>
      <c r="AV416" s="397"/>
      <c r="AW416" s="397"/>
      <c r="AX416" s="397"/>
      <c r="AY416" s="397"/>
      <c r="AZ416" s="397"/>
      <c r="BA416" s="397"/>
      <c r="BB416" s="397"/>
      <c r="BC416" s="397"/>
    </row>
    <row r="417" spans="1:55" s="40" customFormat="1" x14ac:dyDescent="0.4">
      <c r="A417" s="50"/>
      <c r="B417" s="1038"/>
      <c r="C417" s="1038"/>
      <c r="D417" s="245"/>
      <c r="F417" s="397"/>
      <c r="G417" s="397"/>
      <c r="H417" s="240"/>
      <c r="I417" s="397"/>
      <c r="J417" s="397"/>
      <c r="K417" s="397"/>
      <c r="L417" s="397"/>
      <c r="M417" s="397"/>
      <c r="N417" s="397"/>
      <c r="O417" s="397"/>
      <c r="P417" s="397"/>
      <c r="Q417" s="397"/>
      <c r="R417" s="397"/>
      <c r="S417" s="397"/>
      <c r="T417" s="397"/>
      <c r="U417" s="397"/>
      <c r="V417" s="397"/>
      <c r="W417" s="397"/>
      <c r="X417" s="397"/>
      <c r="Y417" s="397"/>
      <c r="Z417" s="397"/>
      <c r="AA417" s="397"/>
      <c r="AB417" s="397"/>
      <c r="AC417" s="397"/>
      <c r="AD417" s="762"/>
      <c r="AH417" s="397"/>
      <c r="AI417" s="397"/>
      <c r="AJ417" s="397"/>
      <c r="AK417" s="397"/>
      <c r="AL417" s="397"/>
      <c r="AM417" s="397"/>
      <c r="AN417" s="397"/>
      <c r="AO417" s="397"/>
      <c r="AP417" s="397"/>
      <c r="AQ417" s="397"/>
      <c r="AR417" s="397"/>
      <c r="AS417" s="397"/>
      <c r="AT417" s="397"/>
      <c r="AU417" s="397"/>
      <c r="AV417" s="397"/>
      <c r="AW417" s="397"/>
      <c r="AX417" s="397"/>
      <c r="AY417" s="397"/>
      <c r="AZ417" s="397"/>
      <c r="BA417" s="397"/>
      <c r="BB417" s="397"/>
      <c r="BC417" s="397"/>
    </row>
    <row r="418" spans="1:55" s="40" customFormat="1" x14ac:dyDescent="0.4">
      <c r="A418" s="50"/>
      <c r="B418" s="1038"/>
      <c r="C418" s="1038"/>
      <c r="D418" s="245" t="s">
        <v>48</v>
      </c>
      <c r="F418" s="397"/>
      <c r="G418" s="397"/>
      <c r="H418" s="240"/>
      <c r="I418" s="397"/>
      <c r="J418" s="397"/>
      <c r="K418" s="397"/>
      <c r="L418" s="397"/>
      <c r="M418" s="397"/>
      <c r="N418" s="397"/>
      <c r="O418" s="397"/>
      <c r="P418" s="397"/>
      <c r="Q418" s="397"/>
      <c r="R418" s="397"/>
      <c r="S418" s="397"/>
      <c r="T418" s="397"/>
      <c r="U418" s="397"/>
      <c r="V418" s="397"/>
      <c r="W418" s="397"/>
      <c r="X418" s="397"/>
      <c r="Y418" s="397"/>
      <c r="Z418" s="397"/>
      <c r="AA418" s="397"/>
      <c r="AB418" s="397"/>
      <c r="AC418" s="397"/>
      <c r="AD418" s="762"/>
      <c r="AH418" s="397"/>
      <c r="AI418" s="397"/>
      <c r="AJ418" s="397"/>
      <c r="AK418" s="397"/>
      <c r="AL418" s="397"/>
      <c r="AM418" s="397"/>
      <c r="AN418" s="397"/>
      <c r="AO418" s="397"/>
      <c r="AP418" s="397"/>
      <c r="AQ418" s="397"/>
      <c r="AR418" s="397"/>
      <c r="AS418" s="397"/>
      <c r="AT418" s="397"/>
      <c r="AU418" s="397"/>
      <c r="AV418" s="397"/>
      <c r="AW418" s="397"/>
      <c r="AX418" s="397"/>
      <c r="AY418" s="397"/>
      <c r="AZ418" s="397"/>
      <c r="BA418" s="397"/>
      <c r="BB418" s="397"/>
      <c r="BC418" s="397"/>
    </row>
    <row r="419" spans="1:55" s="252" customFormat="1" ht="82.5" customHeight="1" x14ac:dyDescent="0.4">
      <c r="A419" s="1052"/>
      <c r="B419" s="1052"/>
      <c r="C419" s="1052"/>
      <c r="E419" s="1075" t="s">
        <v>41</v>
      </c>
      <c r="F419" s="1075"/>
      <c r="G419" s="1075"/>
      <c r="H419" s="1075"/>
      <c r="I419" s="1075"/>
      <c r="J419" s="1075"/>
      <c r="K419" s="1075"/>
      <c r="L419" s="1075"/>
      <c r="M419" s="1075"/>
      <c r="N419" s="1075"/>
      <c r="O419" s="1075"/>
      <c r="P419" s="1075"/>
      <c r="Q419" s="1075"/>
      <c r="R419" s="1075"/>
      <c r="S419" s="750"/>
      <c r="T419" s="750"/>
      <c r="U419" s="750"/>
      <c r="V419" s="750"/>
      <c r="W419" s="750"/>
      <c r="X419" s="750"/>
      <c r="Y419" s="750"/>
      <c r="Z419" s="750"/>
      <c r="AA419" s="750"/>
      <c r="AB419" s="750"/>
      <c r="AC419" s="750"/>
      <c r="AD419" s="771"/>
      <c r="AG419" s="252" t="s">
        <v>184</v>
      </c>
      <c r="AH419" s="750"/>
      <c r="AI419" s="750"/>
      <c r="AJ419" s="750"/>
      <c r="AK419" s="750"/>
      <c r="AL419" s="750"/>
      <c r="AM419" s="750"/>
      <c r="AN419" s="750"/>
      <c r="AO419" s="750"/>
      <c r="AP419" s="750"/>
      <c r="AQ419" s="750"/>
      <c r="AR419" s="750"/>
      <c r="AS419" s="750"/>
      <c r="AT419" s="750"/>
      <c r="AU419" s="750"/>
      <c r="AV419" s="750"/>
      <c r="AW419" s="750"/>
      <c r="AX419" s="750"/>
      <c r="AY419" s="750"/>
      <c r="AZ419" s="750"/>
      <c r="BA419" s="750"/>
      <c r="BB419" s="750"/>
      <c r="BC419" s="750"/>
    </row>
    <row r="420" spans="1:55" s="40" customFormat="1" x14ac:dyDescent="0.4">
      <c r="A420" s="50"/>
      <c r="B420" s="1038"/>
      <c r="C420" s="1038"/>
      <c r="D420" s="245" t="s">
        <v>48</v>
      </c>
      <c r="F420" s="397"/>
      <c r="G420" s="397"/>
      <c r="H420" s="240"/>
      <c r="I420" s="397"/>
      <c r="J420" s="397"/>
      <c r="K420" s="397"/>
      <c r="L420" s="397"/>
      <c r="M420" s="397"/>
      <c r="N420" s="397"/>
      <c r="O420" s="397"/>
      <c r="P420" s="397"/>
      <c r="Q420" s="397"/>
      <c r="R420" s="397"/>
      <c r="S420" s="397"/>
      <c r="T420" s="397"/>
      <c r="U420" s="397"/>
      <c r="V420" s="397"/>
      <c r="W420" s="397"/>
      <c r="X420" s="397"/>
      <c r="Y420" s="397"/>
      <c r="Z420" s="397"/>
      <c r="AA420" s="397"/>
      <c r="AB420" s="397"/>
      <c r="AC420" s="397"/>
      <c r="AD420" s="762"/>
      <c r="AH420" s="397"/>
      <c r="AI420" s="397"/>
      <c r="AJ420" s="397"/>
      <c r="AK420" s="397"/>
      <c r="AL420" s="397"/>
      <c r="AM420" s="397"/>
      <c r="AN420" s="397"/>
      <c r="AO420" s="397"/>
      <c r="AP420" s="397"/>
      <c r="AQ420" s="397"/>
      <c r="AR420" s="397"/>
      <c r="AS420" s="397"/>
      <c r="AT420" s="397"/>
      <c r="AU420" s="397"/>
      <c r="AV420" s="397"/>
      <c r="AW420" s="397"/>
      <c r="AX420" s="397"/>
      <c r="AY420" s="397"/>
      <c r="AZ420" s="397"/>
      <c r="BA420" s="397"/>
      <c r="BB420" s="397"/>
      <c r="BC420" s="397"/>
    </row>
    <row r="421" spans="1:55" s="40" customFormat="1" ht="24.6" x14ac:dyDescent="0.55000000000000004">
      <c r="A421" s="50"/>
      <c r="B421" s="1038"/>
      <c r="C421" s="1038"/>
      <c r="D421" s="245"/>
      <c r="E421" s="1134" t="s">
        <v>470</v>
      </c>
      <c r="F421" s="397"/>
      <c r="G421" s="397"/>
      <c r="H421" s="240"/>
      <c r="I421" s="397"/>
      <c r="J421" s="397"/>
      <c r="K421" s="397"/>
      <c r="L421" s="397"/>
      <c r="M421" s="397"/>
      <c r="N421" s="397"/>
      <c r="O421" s="397"/>
      <c r="P421" s="397"/>
      <c r="Q421" s="397"/>
      <c r="R421" s="397"/>
      <c r="S421" s="397"/>
      <c r="T421" s="397"/>
      <c r="U421" s="397"/>
      <c r="V421" s="397"/>
      <c r="W421" s="397"/>
      <c r="X421" s="397"/>
      <c r="Y421" s="397"/>
      <c r="Z421" s="397"/>
      <c r="AA421" s="397"/>
      <c r="AB421" s="397"/>
      <c r="AC421" s="397"/>
      <c r="AD421" s="762"/>
      <c r="AG421" s="1134" t="s">
        <v>471</v>
      </c>
      <c r="AH421" s="397"/>
      <c r="AI421" s="397"/>
      <c r="AJ421" s="397"/>
      <c r="AK421" s="397"/>
      <c r="AL421" s="397"/>
      <c r="AM421" s="397"/>
      <c r="AN421" s="397"/>
      <c r="AO421" s="397"/>
      <c r="AP421" s="397"/>
      <c r="AQ421" s="397"/>
      <c r="AR421" s="397"/>
      <c r="AS421" s="397"/>
      <c r="AT421" s="397"/>
      <c r="AU421" s="397"/>
      <c r="AV421" s="397"/>
      <c r="AW421" s="397"/>
      <c r="AX421" s="397"/>
      <c r="AY421" s="397"/>
      <c r="AZ421" s="397"/>
      <c r="BA421" s="397"/>
      <c r="BB421" s="397"/>
      <c r="BC421" s="397"/>
    </row>
    <row r="422" spans="1:55" ht="47.4" customHeight="1" x14ac:dyDescent="0.4">
      <c r="D422" s="236"/>
      <c r="E422" s="1235" t="str">
        <f>"STAÐAN ÁRIÐ "&amp;$A$1</f>
        <v>STAÐAN ÁRIÐ 2024</v>
      </c>
      <c r="F422" s="888"/>
      <c r="G422" s="888"/>
      <c r="H422" s="888"/>
      <c r="I422" s="888"/>
      <c r="J422" s="888"/>
      <c r="K422" s="888"/>
      <c r="L422" s="888"/>
      <c r="M422" s="888"/>
      <c r="O422" s="1235" t="s">
        <v>403</v>
      </c>
      <c r="P422" s="1237" t="s">
        <v>416</v>
      </c>
      <c r="Q422" s="1238"/>
      <c r="R422" s="1238"/>
      <c r="S422" s="1238"/>
      <c r="AG422" s="1235" t="str">
        <f>$AG$6</f>
        <v>2024 EMISSIONS</v>
      </c>
      <c r="AH422" s="888"/>
      <c r="AI422" s="888"/>
      <c r="AJ422" s="888"/>
      <c r="AK422" s="888"/>
      <c r="AL422" s="888"/>
      <c r="AM422" s="888"/>
      <c r="AN422" s="888"/>
      <c r="AO422" s="888"/>
      <c r="AQ422" s="1235" t="str">
        <f>$AQ$6</f>
        <v>OUTLOOKS</v>
      </c>
      <c r="AR422" s="1237" t="str">
        <f>$AR$6</f>
        <v>Estimated change in emissions based on
With Existing Measures scenario</v>
      </c>
      <c r="AS422" s="1238"/>
      <c r="AT422" s="1238"/>
      <c r="AU422" s="1239"/>
      <c r="AV422" s="1240" t="str">
        <f>$AV$6</f>
        <v>Estimated change in emissions based on
With Addiotional Measures scenario</v>
      </c>
      <c r="AW422" s="1238"/>
    </row>
    <row r="423" spans="1:55" s="40" customFormat="1" ht="16.95" customHeight="1" x14ac:dyDescent="0.4">
      <c r="A423" s="50"/>
      <c r="B423" s="1038"/>
      <c r="C423" s="1038"/>
      <c r="D423" s="245" t="s">
        <v>48</v>
      </c>
      <c r="E423" s="1235"/>
      <c r="F423" s="1233" t="str">
        <f>"Losun "&amp;$A$1</f>
        <v>Losun 2024</v>
      </c>
      <c r="G423" s="1231"/>
      <c r="H423" s="1232" t="str">
        <f>"Breyting frá "&amp;$B$3</f>
        <v>Breyting frá 2023</v>
      </c>
      <c r="I423" s="1231"/>
      <c r="J423" s="1232" t="str">
        <f>"Breyting frá "&amp;$B$2</f>
        <v>Breyting frá 2005</v>
      </c>
      <c r="K423" s="1231"/>
      <c r="L423" s="1232" t="str">
        <f>"Breyting frá "&amp;$B$1</f>
        <v>Breyting frá 1990</v>
      </c>
      <c r="M423" s="1233"/>
      <c r="N423" s="240"/>
      <c r="O423" s="1235"/>
      <c r="P423" s="1232" t="s">
        <v>417</v>
      </c>
      <c r="Q423" s="1231"/>
      <c r="R423" s="1232" t="s">
        <v>418</v>
      </c>
      <c r="S423" s="1233"/>
      <c r="T423" s="397"/>
      <c r="U423" s="397"/>
      <c r="V423" s="397"/>
      <c r="W423" s="397"/>
      <c r="X423" s="397"/>
      <c r="Y423" s="397"/>
      <c r="Z423" s="397"/>
      <c r="AA423" s="397"/>
      <c r="AB423" s="397"/>
      <c r="AC423" s="397"/>
      <c r="AD423" s="762"/>
      <c r="AG423" s="1235"/>
      <c r="AH423" s="1230" t="str">
        <f>$AH$7</f>
        <v>Emissions in 2023</v>
      </c>
      <c r="AI423" s="1231"/>
      <c r="AJ423" s="1232" t="str">
        <f>$AJ$7</f>
        <v>Change from 2022</v>
      </c>
      <c r="AK423" s="1231"/>
      <c r="AL423" s="1232" t="str">
        <f>$AL$7</f>
        <v>Change from 2005</v>
      </c>
      <c r="AM423" s="1231"/>
      <c r="AN423" s="1232" t="str">
        <f>$AN$7</f>
        <v>Change from 1990</v>
      </c>
      <c r="AO423" s="1233"/>
      <c r="AP423" s="240"/>
      <c r="AQ423" s="1235"/>
      <c r="AR423" s="1234" t="str">
        <f>$AR$7</f>
        <v>2030 compared to 2005</v>
      </c>
      <c r="AS423" s="1231"/>
      <c r="AT423" s="1232" t="str">
        <f>$AT$7</f>
        <v>2055 compared to 1990</v>
      </c>
      <c r="AU423" s="1231"/>
      <c r="AV423" s="1232" t="str">
        <f>$AR$7</f>
        <v>2030 compared to 2005</v>
      </c>
      <c r="AW423" s="1231"/>
      <c r="AX423" s="397"/>
      <c r="AY423" s="397"/>
      <c r="AZ423" s="397"/>
      <c r="BA423" s="397"/>
      <c r="BB423" s="397"/>
      <c r="BC423" s="397"/>
    </row>
    <row r="424" spans="1:55" s="40" customFormat="1" ht="17.399999999999999" customHeight="1" thickBot="1" x14ac:dyDescent="0.45">
      <c r="A424" s="50"/>
      <c r="B424" s="1038"/>
      <c r="C424" s="1038"/>
      <c r="D424" s="245" t="s">
        <v>48</v>
      </c>
      <c r="E424" s="1236"/>
      <c r="F424" s="855" t="s">
        <v>430</v>
      </c>
      <c r="G424" s="856" t="s">
        <v>4</v>
      </c>
      <c r="H424" s="855" t="str">
        <f>$F$8</f>
        <v>Þús. tonn CO₂-íg.</v>
      </c>
      <c r="I424" s="856" t="s">
        <v>4</v>
      </c>
      <c r="J424" s="855" t="str">
        <f>$F$8</f>
        <v>Þús. tonn CO₂-íg.</v>
      </c>
      <c r="K424" s="856" t="s">
        <v>4</v>
      </c>
      <c r="L424" s="855" t="str">
        <f>$F$8</f>
        <v>Þús. tonn CO₂-íg.</v>
      </c>
      <c r="M424" s="855" t="s">
        <v>4</v>
      </c>
      <c r="N424" s="240"/>
      <c r="O424" s="1236"/>
      <c r="P424" s="855" t="str">
        <f>$F$8</f>
        <v>Þús. tonn CO₂-íg.</v>
      </c>
      <c r="Q424" s="856" t="s">
        <v>4</v>
      </c>
      <c r="R424" s="855" t="str">
        <f>$F$8</f>
        <v>Þús. tonn CO₂-íg.</v>
      </c>
      <c r="S424" s="855" t="s">
        <v>4</v>
      </c>
      <c r="T424" s="397"/>
      <c r="U424" s="397"/>
      <c r="V424" s="397"/>
      <c r="W424" s="397"/>
      <c r="X424" s="397"/>
      <c r="Y424" s="397"/>
      <c r="Z424" s="397"/>
      <c r="AA424" s="397"/>
      <c r="AB424" s="397"/>
      <c r="AC424" s="397"/>
      <c r="AD424" s="762"/>
      <c r="AG424" s="1236"/>
      <c r="AH424" s="855" t="str">
        <f>$AH$8</f>
        <v>Thousand tons CO₂e</v>
      </c>
      <c r="AI424" s="856" t="s">
        <v>4</v>
      </c>
      <c r="AJ424" s="855" t="str">
        <f>$AH$8</f>
        <v>Thousand tons CO₂e</v>
      </c>
      <c r="AK424" s="856" t="s">
        <v>4</v>
      </c>
      <c r="AL424" s="855" t="str">
        <f>$F$8</f>
        <v>Þús. tonn CO₂-íg.</v>
      </c>
      <c r="AM424" s="856" t="s">
        <v>4</v>
      </c>
      <c r="AN424" s="855" t="str">
        <f>$AH$8</f>
        <v>Thousand tons CO₂e</v>
      </c>
      <c r="AO424" s="855" t="s">
        <v>4</v>
      </c>
      <c r="AP424" s="240"/>
      <c r="AQ424" s="1236"/>
      <c r="AR424" s="855" t="str">
        <f>$AH$8</f>
        <v>Thousand tons CO₂e</v>
      </c>
      <c r="AS424" s="856" t="s">
        <v>4</v>
      </c>
      <c r="AT424" s="855" t="str">
        <f>$AH$8</f>
        <v>Thousand tons CO₂e</v>
      </c>
      <c r="AU424" s="856" t="s">
        <v>4</v>
      </c>
      <c r="AV424" s="855" t="str">
        <f>$AH$8</f>
        <v>Thousand tons CO₂e</v>
      </c>
      <c r="AW424" s="855" t="s">
        <v>4</v>
      </c>
      <c r="AX424" s="397"/>
      <c r="AY424" s="397"/>
      <c r="AZ424" s="397"/>
      <c r="BA424" s="397"/>
      <c r="BB424" s="397"/>
      <c r="BC424" s="397"/>
    </row>
    <row r="425" spans="1:55" s="40" customFormat="1" ht="21" customHeight="1" thickTop="1" thickBot="1" x14ac:dyDescent="0.45">
      <c r="A425" s="50" t="s">
        <v>64</v>
      </c>
      <c r="B425" s="50" t="s">
        <v>308</v>
      </c>
      <c r="C425" s="50" t="s">
        <v>312</v>
      </c>
      <c r="D425" s="245" t="s">
        <v>48</v>
      </c>
      <c r="E425" s="858" t="str">
        <f>'Talnagögn | Numerical Data'!$D$112</f>
        <v>Nytjajarðvegur</v>
      </c>
      <c r="F425" s="853" cm="1">
        <f t="array" ref="F425">INDEX('Talnagögn | Numerical Data'!$1:$1048576,_xlfn.XMATCH($A425,'Talnagögn | Numerical Data'!$A:$A),_xlfn.XMATCH($A$1,'Talnagögn | Numerical Data'!$1:$1))</f>
        <v>322.41304134971909</v>
      </c>
      <c r="G425" s="860">
        <f>$F$425/$F$429</f>
        <v>0.48150157288869694</v>
      </c>
      <c r="H425" s="854" cm="1">
        <f t="array" ref="H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Data'!$A:$A),_xlfn.XMATCH($B$3,'Talnagögn | Numerical Data'!$1:$1))</f>
        <v>6.9267072149868341</v>
      </c>
      <c r="I425" s="862" cm="1">
        <f t="array" ref="I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Data'!$A:$A),_xlfn.XMATCH($B$3,'Talnagögn | Numerical Data'!$1:$1))-1</f>
        <v>2.1955648995017008E-2</v>
      </c>
      <c r="J425" s="853" cm="1">
        <f t="array" ref="J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Data'!$A:$A),_xlfn.XMATCH($B$2,'Talnagögn | Numerical Data'!$1:$1))</f>
        <v>12.03934390815698</v>
      </c>
      <c r="K425" s="862" cm="1">
        <f t="array" ref="K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Data'!$A:$A),_xlfn.XMATCH($B$2,'Talnagögn | Numerical Data'!$1:$1))-1</f>
        <v>3.8789833054148515E-2</v>
      </c>
      <c r="L425" s="853" cm="1">
        <f t="array" ref="L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Data'!$A:$A),_xlfn.XMATCH($B$1,'Talnagögn | Numerical Data'!$1:$1))</f>
        <v>43.306317983405165</v>
      </c>
      <c r="M425" s="847" cm="1">
        <f t="array" ref="M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Data'!$A:$A),_xlfn.XMATCH($B$1,'Talnagögn | Numerical Data'!$1:$1))-1</f>
        <v>0.1551604255930723</v>
      </c>
      <c r="O425" s="858" t="str">
        <f>'Talnagögn | Numerical Data'!$D$112</f>
        <v>Nytjajarðvegur</v>
      </c>
      <c r="P425" s="853" cm="1">
        <f t="array" ref="P425">INDEX('Talnagögn | Numerical Data'!$1:$1048576,_xlfn.XMATCH($B425,'Talnagögn | Numerical Data'!$B:$B),_xlfn.XMATCH($B$4,'Talnagögn | Numerical Data'!$1:$1))-INDEX('Talnagögn | Numerical Data'!$1:$1048576,_xlfn.XMATCH($A425,'Talnagögn | Numerical Data'!$A:$A),_xlfn.XMATCH($B$2,'Talnagögn | Numerical Data'!$1:$1))</f>
        <v>20.462101509301135</v>
      </c>
      <c r="Q425" s="862" cm="1">
        <f t="array" ref="Q425">INDEX('Talnagögn | Numerical Data'!$1:$1048576,_xlfn.XMATCH($B425,'Talnagögn | Numerical Data'!$B:$B),_xlfn.XMATCH($B$4,'Talnagögn | Numerical Data'!$1:$1))/INDEX('Talnagögn | Numerical Data'!$1:$1048576,_xlfn.XMATCH($A425,'Talnagögn | Numerical Data'!$A:$A),_xlfn.XMATCH($B$2,'Talnagögn | Numerical Data'!$1:$1))-1</f>
        <v>6.5927305303162154E-2</v>
      </c>
      <c r="R425" s="853" cm="1">
        <f t="array" ref="R425">INDEX('Talnagögn | Numerical Data'!$1:$1048576,_xlfn.XMATCH($B425,'Talnagögn | Numerical Data'!$B:$B),_xlfn.XMATCH($B$5,'Talnagögn | Numerical Data'!$1:$1))-INDEX('Talnagögn | Numerical Data'!$1:$1048576,_xlfn.XMATCH($A425,'Talnagögn | Numerical Data'!$A:$A),_xlfn.XMATCH($B$1,'Talnagögn | Numerical Data'!$1:$1))</f>
        <v>54.46825092358921</v>
      </c>
      <c r="S425" s="847" cm="1">
        <f t="array" ref="S425">INDEX('Talnagögn | Numerical Data'!$1:$1048576,_xlfn.XMATCH($B425,'Talnagögn | Numerical Data'!$B:$B),_xlfn.XMATCH($B$5,'Talnagögn | Numerical Data'!$1:$1))/INDEX('Talnagögn | Numerical Data'!$1:$1048576,_xlfn.XMATCH($A425,'Talnagögn | Numerical Data'!$A:$A),_xlfn.XMATCH($B$1,'Talnagögn | Numerical Data'!$1:$1))-1</f>
        <v>0.19515205605456631</v>
      </c>
      <c r="AD425" s="760"/>
      <c r="AG425" s="858" t="str">
        <f>'Talnagögn | Numerical Data'!$E112</f>
        <v>Agricultural Soils</v>
      </c>
      <c r="AH425" s="853" cm="1">
        <f t="array" ref="AH425">INDEX('Talnagögn | Numerical Data'!$1:$1048576,_xlfn.XMATCH($A425,'Talnagögn | Numerical Data'!$A:$A),_xlfn.XMATCH($A$1,'Talnagögn | Numerical Data'!$1:$1))</f>
        <v>322.41304134971909</v>
      </c>
      <c r="AI425" s="860">
        <f>$F$425/$F$429</f>
        <v>0.48150157288869694</v>
      </c>
      <c r="AJ425" s="854" cm="1">
        <f t="array" ref="AJ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Data'!$A:$A),_xlfn.XMATCH($B$3,'Talnagögn | Numerical Data'!$1:$1))</f>
        <v>6.9267072149868341</v>
      </c>
      <c r="AK425" s="862" cm="1">
        <f t="array" ref="AK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Data'!$A:$A),_xlfn.XMATCH($B$3,'Talnagögn | Numerical Data'!$1:$1))-1</f>
        <v>2.1955648995017008E-2</v>
      </c>
      <c r="AL425" s="853" cm="1">
        <f t="array" ref="AL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Data'!$A:$A),_xlfn.XMATCH($B$2,'Talnagögn | Numerical Data'!$1:$1))</f>
        <v>12.03934390815698</v>
      </c>
      <c r="AM425" s="862" cm="1">
        <f t="array" ref="AM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Data'!$A:$A),_xlfn.XMATCH($B$2,'Talnagögn | Numerical Data'!$1:$1))-1</f>
        <v>3.8789833054148515E-2</v>
      </c>
      <c r="AN425" s="853" cm="1">
        <f t="array" ref="AN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Data'!$A:$A),_xlfn.XMATCH($B$1,'Talnagögn | Numerical Data'!$1:$1))</f>
        <v>43.306317983405165</v>
      </c>
      <c r="AO425" s="847" cm="1">
        <f t="array" ref="AO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Data'!$A:$A),_xlfn.XMATCH($B$1,'Talnagögn | Numerical Data'!$1:$1))-1</f>
        <v>0.1551604255930723</v>
      </c>
      <c r="AQ425" s="858" t="str">
        <f>'Talnagögn | Numerical Data'!$E112</f>
        <v>Agricultural Soils</v>
      </c>
      <c r="AR425" s="853" cm="1">
        <f t="array" ref="AR425">INDEX('Talnagögn | Numerical Data'!$1:$1048576,_xlfn.XMATCH($B425,'Talnagögn | Numerical Data'!$B:$B),_xlfn.XMATCH($B$4,'Talnagögn | Numerical Data'!$1:$1))-INDEX('Talnagögn | Numerical Data'!$1:$1048576,_xlfn.XMATCH($A425,'Talnagögn | Numerical Data'!$A:$A),_xlfn.XMATCH($B$2,'Talnagögn | Numerical Data'!$1:$1))</f>
        <v>20.462101509301135</v>
      </c>
      <c r="AS425" s="862" cm="1">
        <f t="array" ref="AS425">INDEX('Talnagögn | Numerical Data'!$1:$1048576,_xlfn.XMATCH($B425,'Talnagögn | Numerical Data'!$B:$B),_xlfn.XMATCH($B$4,'Talnagögn | Numerical Data'!$1:$1))/INDEX('Talnagögn | Numerical Data'!$1:$1048576,_xlfn.XMATCH($A425,'Talnagögn | Numerical Data'!$A:$A),_xlfn.XMATCH($B$2,'Talnagögn | Numerical Data'!$1:$1))-1</f>
        <v>6.5927305303162154E-2</v>
      </c>
      <c r="AT425" s="853" cm="1">
        <f t="array" ref="AT425">INDEX('Talnagögn | Numerical Data'!$1:$1048576,_xlfn.XMATCH($B425,'Talnagögn | Numerical Data'!$B:$B),_xlfn.XMATCH($B$5,'Talnagögn | Numerical Data'!$1:$1))-INDEX('Talnagögn | Numerical Data'!$1:$1048576,_xlfn.XMATCH($A425,'Talnagögn | Numerical Data'!$A:$A),_xlfn.XMATCH($B$1,'Talnagögn | Numerical Data'!$1:$1))</f>
        <v>54.46825092358921</v>
      </c>
      <c r="AU425" s="860" cm="1">
        <f t="array" ref="AU425">INDEX('Talnagögn | Numerical Data'!$1:$1048576,_xlfn.XMATCH($B425,'Talnagögn | Numerical Data'!$B:$B),_xlfn.XMATCH($B$5,'Talnagögn | Numerical Data'!$1:$1))/INDEX('Talnagögn | Numerical Data'!$1:$1048576,_xlfn.XMATCH($A425,'Talnagögn | Numerical Data'!$A:$A),_xlfn.XMATCH($B$1,'Talnagögn | Numerical Data'!$1:$1))-1</f>
        <v>0.19515205605456631</v>
      </c>
      <c r="AV425" s="854" t="e" cm="1">
        <f t="array" ref="AV425">INDEX('Talnagögn | Numerical Data'!$1:$1048576,_xlfn.XMATCH($C425,'Talnagögn | Numerical Data'!$B:$B),_xlfn.XMATCH($B$4,'Talnagögn | Numerical Data'!$1:$1))-INDEX('Talnagögn | Numerical Data'!$1:$1048576,_xlfn.XMATCH($A425,'Talnagögn | Numerical Data'!$A:$A),_xlfn.XMATCH($B$2,'Talnagögn | Numerical Data'!$1:$1))</f>
        <v>#N/A</v>
      </c>
      <c r="AW425" s="848" t="e" cm="1">
        <f t="array" ref="AW425">INDEX('Talnagögn | Numerical Data'!$1:$1048576,_xlfn.XMATCH($C425,'Talnagögn | Numerical Data'!$B:$B),_xlfn.XMATCH($B$4,'Talnagögn | Numerical Data'!$1:$1))/INDEX('Talnagögn | Numerical Data'!$1:$1048576,_xlfn.XMATCH($A425,'Talnagögn | Numerical Data'!$A:$A),_xlfn.XMATCH($B$2,'Talnagögn | Numerical Data'!$1:$1))-1</f>
        <v>#N/A</v>
      </c>
    </row>
    <row r="426" spans="1:55" s="40" customFormat="1" ht="21" customHeight="1" thickTop="1" x14ac:dyDescent="0.4">
      <c r="A426" s="50" t="s">
        <v>62</v>
      </c>
      <c r="B426" s="50" t="s">
        <v>306</v>
      </c>
      <c r="C426" s="50" t="s">
        <v>310</v>
      </c>
      <c r="D426" s="245" t="s">
        <v>48</v>
      </c>
      <c r="E426" s="857" t="str">
        <f>'Talnagögn | Numerical Data'!$D$110</f>
        <v>Iðragerjun</v>
      </c>
      <c r="F426" s="852" cm="1">
        <f t="array" ref="F426">INDEX('Talnagögn | Numerical Data'!$1:$1048576,_xlfn.XMATCH($A426,'Talnagögn | Numerical Data'!$A:$A),_xlfn.XMATCH($A$1,'Talnagögn | Numerical Data'!$1:$1))</f>
        <v>275.28975195546064</v>
      </c>
      <c r="G426" s="859">
        <f>$F$426/$F$429</f>
        <v>0.41112620014311041</v>
      </c>
      <c r="H426" s="854" cm="1">
        <f t="array" ref="H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Data'!$A:$A),_xlfn.XMATCH($B$3,'Talnagögn | Numerical Data'!$1:$1))</f>
        <v>-9.7001087809701403</v>
      </c>
      <c r="I426" s="861" cm="1">
        <f t="array" ref="I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Data'!$A:$A),_xlfn.XMATCH($B$3,'Talnagögn | Numerical Data'!$1:$1))-1</f>
        <v>-3.4036680308220379E-2</v>
      </c>
      <c r="J426" s="853" cm="1">
        <f t="array" ref="J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Data'!$A:$A),_xlfn.XMATCH($B$2,'Talnagögn | Numerical Data'!$1:$1))</f>
        <v>-17.586222060944181</v>
      </c>
      <c r="K426" s="861" cm="1">
        <f t="array" ref="K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Data'!$A:$A),_xlfn.XMATCH($B$2,'Talnagögn | Numerical Data'!$1:$1))-1</f>
        <v>-6.0046653263401972E-2</v>
      </c>
      <c r="L426" s="853" cm="1">
        <f t="array" ref="L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Data'!$A:$A),_xlfn.XMATCH($B$1,'Talnagögn | Numerical Data'!$1:$1))</f>
        <v>-69.477547272309778</v>
      </c>
      <c r="M426" s="847" cm="1">
        <f t="array" ref="M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Data'!$A:$A),_xlfn.XMATCH($B$1,'Talnagögn | Numerical Data'!$1:$1))-1</f>
        <v>-0.20152011930345359</v>
      </c>
      <c r="O426" s="857" t="str">
        <f>'Talnagögn | Numerical Data'!$D$110</f>
        <v>Iðragerjun</v>
      </c>
      <c r="P426" s="853" cm="1">
        <f t="array" ref="P426">INDEX('Talnagögn | Numerical Data'!$1:$1048576,_xlfn.XMATCH($B426,'Talnagögn | Numerical Data'!$B:$B),_xlfn.XMATCH($B$4,'Talnagögn | Numerical Data'!$1:$1))-INDEX('Talnagögn | Numerical Data'!$1:$1048576,_xlfn.XMATCH($A426,'Talnagögn | Numerical Data'!$A:$A),_xlfn.XMATCH($B$2,'Talnagögn | Numerical Data'!$1:$1))</f>
        <v>-23.98277819654561</v>
      </c>
      <c r="Q426" s="859" cm="1">
        <f t="array" ref="Q426">INDEX('Talnagögn | Numerical Data'!$1:$1048576,_xlfn.XMATCH($B426,'Talnagögn | Numerical Data'!$B:$B),_xlfn.XMATCH($B$4,'Talnagögn | Numerical Data'!$1:$1))/INDEX('Talnagögn | Numerical Data'!$1:$1048576,_xlfn.XMATCH($A426,'Talnagögn | Numerical Data'!$A:$A),_xlfn.XMATCH($B$2,'Talnagögn | Numerical Data'!$1:$1))-1</f>
        <v>-8.1887147886027245E-2</v>
      </c>
      <c r="R426" s="853" cm="1">
        <f t="array" ref="R426">INDEX('Talnagögn | Numerical Data'!$1:$1048576,_xlfn.XMATCH($B426,'Talnagögn | Numerical Data'!$B:$B),_xlfn.XMATCH($B$5,'Talnagögn | Numerical Data'!$1:$1))-INDEX('Talnagögn | Numerical Data'!$1:$1048576,_xlfn.XMATCH($A426,'Talnagögn | Numerical Data'!$A:$A),_xlfn.XMATCH($B$1,'Talnagögn | Numerical Data'!$1:$1))</f>
        <v>-110.04739128267806</v>
      </c>
      <c r="S426" s="1084" cm="1">
        <f t="array" ref="S426">INDEX('Talnagögn | Numerical Data'!$1:$1048576,_xlfn.XMATCH($B426,'Talnagögn | Numerical Data'!$B:$B),_xlfn.XMATCH($B$5,'Talnagögn | Numerical Data'!$1:$1))/INDEX('Talnagögn | Numerical Data'!$1:$1048576,_xlfn.XMATCH($A426,'Talnagögn | Numerical Data'!$A:$A),_xlfn.XMATCH($B$1,'Talnagögn | Numerical Data'!$1:$1))-1</f>
        <v>-0.31919323998873594</v>
      </c>
      <c r="AD426" s="760"/>
      <c r="AG426" s="857" t="str">
        <f>'Talnagögn | Numerical Data'!$E110</f>
        <v>Enteric Fermentation</v>
      </c>
      <c r="AH426" s="852" cm="1">
        <f t="array" ref="AH426">INDEX('Talnagögn | Numerical Data'!$1:$1048576,_xlfn.XMATCH($A426,'Talnagögn | Numerical Data'!$A:$A),_xlfn.XMATCH($A$1,'Talnagögn | Numerical Data'!$1:$1))</f>
        <v>275.28975195546064</v>
      </c>
      <c r="AI426" s="859">
        <f>$F$426/$F$429</f>
        <v>0.41112620014311041</v>
      </c>
      <c r="AJ426" s="854" cm="1">
        <f t="array" ref="AJ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Data'!$A:$A),_xlfn.XMATCH($B$3,'Talnagögn | Numerical Data'!$1:$1))</f>
        <v>-9.7001087809701403</v>
      </c>
      <c r="AK426" s="861" cm="1">
        <f t="array" ref="AK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Data'!$A:$A),_xlfn.XMATCH($B$3,'Talnagögn | Numerical Data'!$1:$1))-1</f>
        <v>-3.4036680308220379E-2</v>
      </c>
      <c r="AL426" s="853" cm="1">
        <f t="array" ref="AL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Data'!$A:$A),_xlfn.XMATCH($B$2,'Talnagögn | Numerical Data'!$1:$1))</f>
        <v>-17.586222060944181</v>
      </c>
      <c r="AM426" s="861" cm="1">
        <f t="array" ref="AM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Data'!$A:$A),_xlfn.XMATCH($B$2,'Talnagögn | Numerical Data'!$1:$1))-1</f>
        <v>-6.0046653263401972E-2</v>
      </c>
      <c r="AN426" s="853" cm="1">
        <f t="array" ref="AN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Data'!$A:$A),_xlfn.XMATCH($B$1,'Talnagögn | Numerical Data'!$1:$1))</f>
        <v>-69.477547272309778</v>
      </c>
      <c r="AO426" s="847" cm="1">
        <f t="array" ref="AO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Data'!$A:$A),_xlfn.XMATCH($B$1,'Talnagögn | Numerical Data'!$1:$1))-1</f>
        <v>-0.20152011930345359</v>
      </c>
      <c r="AQ426" s="857" t="str">
        <f>'Talnagögn | Numerical Data'!$E110</f>
        <v>Enteric Fermentation</v>
      </c>
      <c r="AR426" s="853" cm="1">
        <f t="array" ref="AR426">INDEX('Talnagögn | Numerical Data'!$1:$1048576,_xlfn.XMATCH($B426,'Talnagögn | Numerical Data'!$B:$B),_xlfn.XMATCH($B$4,'Talnagögn | Numerical Data'!$1:$1))-INDEX('Talnagögn | Numerical Data'!$1:$1048576,_xlfn.XMATCH($A426,'Talnagögn | Numerical Data'!$A:$A),_xlfn.XMATCH($B$2,'Talnagögn | Numerical Data'!$1:$1))</f>
        <v>-23.98277819654561</v>
      </c>
      <c r="AS426" s="859" cm="1">
        <f t="array" ref="AS426">INDEX('Talnagögn | Numerical Data'!$1:$1048576,_xlfn.XMATCH($B426,'Talnagögn | Numerical Data'!$B:$B),_xlfn.XMATCH($B$4,'Talnagögn | Numerical Data'!$1:$1))/INDEX('Talnagögn | Numerical Data'!$1:$1048576,_xlfn.XMATCH($A426,'Talnagögn | Numerical Data'!$A:$A),_xlfn.XMATCH($B$2,'Talnagögn | Numerical Data'!$1:$1))-1</f>
        <v>-8.1887147886027245E-2</v>
      </c>
      <c r="AT426" s="853" cm="1">
        <f t="array" ref="AT426">INDEX('Talnagögn | Numerical Data'!$1:$1048576,_xlfn.XMATCH($B426,'Talnagögn | Numerical Data'!$B:$B),_xlfn.XMATCH($B$5,'Talnagögn | Numerical Data'!$1:$1))-INDEX('Talnagögn | Numerical Data'!$1:$1048576,_xlfn.XMATCH($A426,'Talnagögn | Numerical Data'!$A:$A),_xlfn.XMATCH($B$1,'Talnagögn | Numerical Data'!$1:$1))</f>
        <v>-110.04739128267806</v>
      </c>
      <c r="AU426" s="859" cm="1">
        <f t="array" ref="AU426">INDEX('Talnagögn | Numerical Data'!$1:$1048576,_xlfn.XMATCH($B426,'Talnagögn | Numerical Data'!$B:$B),_xlfn.XMATCH($B$5,'Talnagögn | Numerical Data'!$1:$1))/INDEX('Talnagögn | Numerical Data'!$1:$1048576,_xlfn.XMATCH($A426,'Talnagögn | Numerical Data'!$A:$A),_xlfn.XMATCH($B$1,'Talnagögn | Numerical Data'!$1:$1))-1</f>
        <v>-0.31919323998873594</v>
      </c>
      <c r="AV426" s="853" t="e" cm="1">
        <f t="array" ref="AV426">INDEX('Talnagögn | Numerical Data'!$1:$1048576,_xlfn.XMATCH($C426,'Talnagögn | Numerical Data'!$B:$B),_xlfn.XMATCH($B$4,'Talnagögn | Numerical Data'!$1:$1))-INDEX('Talnagögn | Numerical Data'!$1:$1048576,_xlfn.XMATCH($A426,'Talnagögn | Numerical Data'!$A:$A),_xlfn.XMATCH($B$2,'Talnagögn | Numerical Data'!$1:$1))</f>
        <v>#N/A</v>
      </c>
      <c r="AW426" s="1084" t="e" cm="1">
        <f t="array" ref="AW426">INDEX('Talnagögn | Numerical Data'!$1:$1048576,_xlfn.XMATCH($C426,'Talnagögn | Numerical Data'!$B:$B),_xlfn.XMATCH($B$4,'Talnagögn | Numerical Data'!$1:$1))/INDEX('Talnagögn | Numerical Data'!$1:$1048576,_xlfn.XMATCH($A426,'Talnagögn | Numerical Data'!$A:$A),_xlfn.XMATCH($B$2,'Talnagögn | Numerical Data'!$1:$1))-1</f>
        <v>#N/A</v>
      </c>
    </row>
    <row r="427" spans="1:55" s="40" customFormat="1" ht="21" customHeight="1" x14ac:dyDescent="0.4">
      <c r="A427" s="50" t="s">
        <v>63</v>
      </c>
      <c r="B427" s="50" t="s">
        <v>307</v>
      </c>
      <c r="C427" s="50" t="s">
        <v>311</v>
      </c>
      <c r="D427" s="245" t="s">
        <v>48</v>
      </c>
      <c r="E427" s="858" t="str">
        <f>'Talnagögn | Numerical Data'!$D$111</f>
        <v>Meðhöndlun húsdýraáburðar</v>
      </c>
      <c r="F427" s="853" cm="1">
        <f t="array" ref="F427">INDEX('Talnagögn | Numerical Data'!$1:$1048576,_xlfn.XMATCH($A427,'Talnagögn | Numerical Data'!$A:$A),_xlfn.XMATCH($A$1,'Talnagögn | Numerical Data'!$1:$1))</f>
        <v>65.110184810742581</v>
      </c>
      <c r="G427" s="860">
        <f>$F$427/$F$429</f>
        <v>9.7237556726002497E-2</v>
      </c>
      <c r="H427" s="854" cm="1">
        <f t="array" ref="H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Data'!$A:$A),_xlfn.XMATCH($B$3,'Talnagögn | Numerical Data'!$1:$1))</f>
        <v>-1.9627284765914936</v>
      </c>
      <c r="I427" s="862" cm="1">
        <f t="array" ref="I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Data'!$A:$A),_xlfn.XMATCH($B$3,'Talnagögn | Numerical Data'!$1:$1))-1</f>
        <v>-2.9262609604913781E-2</v>
      </c>
      <c r="J427" s="854" cm="1">
        <f t="array" ref="J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Data'!$A:$A),_xlfn.XMATCH($B$2,'Talnagögn | Numerical Data'!$1:$1))</f>
        <v>-3.4637342310281838</v>
      </c>
      <c r="K427" s="862" cm="1">
        <f t="array" ref="K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Data'!$A:$A),_xlfn.XMATCH($B$2,'Talnagögn | Numerical Data'!$1:$1))-1</f>
        <v>-5.0510956343596258E-2</v>
      </c>
      <c r="L427" s="853" cm="1">
        <f t="array" ref="L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Data'!$A:$A),_xlfn.XMATCH($B$1,'Talnagögn | Numerical Data'!$1:$1))</f>
        <v>-16.763568115236296</v>
      </c>
      <c r="M427" s="847" cm="1">
        <f t="array" ref="M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Data'!$A:$A),_xlfn.XMATCH($B$1,'Talnagögn | Numerical Data'!$1:$1))-1</f>
        <v>-0.20474898873137093</v>
      </c>
      <c r="O427" s="858" t="str">
        <f>'Talnagögn | Numerical Data'!$D$111</f>
        <v>Meðhöndlun húsdýraáburðar</v>
      </c>
      <c r="P427" s="854" cm="1">
        <f t="array" ref="P427">INDEX('Talnagögn | Numerical Data'!$1:$1048576,_xlfn.XMATCH($B427,'Talnagögn | Numerical Data'!$B:$B),_xlfn.XMATCH($B$4,'Talnagögn | Numerical Data'!$1:$1))-INDEX('Talnagögn | Numerical Data'!$1:$1048576,_xlfn.XMATCH($A427,'Talnagögn | Numerical Data'!$A:$A),_xlfn.XMATCH($B$2,'Talnagögn | Numerical Data'!$1:$1))</f>
        <v>-4.6849947898987097</v>
      </c>
      <c r="Q427" s="862" cm="1">
        <f t="array" ref="Q427">INDEX('Talnagögn | Numerical Data'!$1:$1048576,_xlfn.XMATCH($B427,'Talnagögn | Numerical Data'!$B:$B),_xlfn.XMATCH($B$4,'Talnagögn | Numerical Data'!$1:$1))/INDEX('Talnagögn | Numerical Data'!$1:$1048576,_xlfn.XMATCH($A427,'Talnagögn | Numerical Data'!$A:$A),_xlfn.XMATCH($B$2,'Talnagögn | Numerical Data'!$1:$1))-1</f>
        <v>-6.832035933435443E-2</v>
      </c>
      <c r="R427" s="853" cm="1">
        <f t="array" ref="R427">INDEX('Talnagögn | Numerical Data'!$1:$1048576,_xlfn.XMATCH($B427,'Talnagögn | Numerical Data'!$B:$B),_xlfn.XMATCH($B$5,'Talnagögn | Numerical Data'!$1:$1))-INDEX('Talnagögn | Numerical Data'!$1:$1048576,_xlfn.XMATCH($A427,'Talnagögn | Numerical Data'!$A:$A),_xlfn.XMATCH($B$1,'Talnagögn | Numerical Data'!$1:$1))</f>
        <v>-23.873549283069863</v>
      </c>
      <c r="S427" s="847" cm="1">
        <f t="array" ref="S427">INDEX('Talnagögn | Numerical Data'!$1:$1048576,_xlfn.XMATCH($B427,'Talnagögn | Numerical Data'!$B:$B),_xlfn.XMATCH($B$5,'Talnagögn | Numerical Data'!$1:$1))/INDEX('Talnagögn | Numerical Data'!$1:$1048576,_xlfn.XMATCH($A427,'Talnagögn | Numerical Data'!$A:$A),_xlfn.XMATCH($B$1,'Talnagögn | Numerical Data'!$1:$1))-1</f>
        <v>-0.29158977608677183</v>
      </c>
      <c r="AD427" s="760"/>
      <c r="AG427" s="858" t="str">
        <f>'Talnagögn | Numerical Data'!$E111</f>
        <v>Manure Management</v>
      </c>
      <c r="AH427" s="853" cm="1">
        <f t="array" ref="AH427">INDEX('Talnagögn | Numerical Data'!$1:$1048576,_xlfn.XMATCH($A427,'Talnagögn | Numerical Data'!$A:$A),_xlfn.XMATCH($A$1,'Talnagögn | Numerical Data'!$1:$1))</f>
        <v>65.110184810742581</v>
      </c>
      <c r="AI427" s="860">
        <f>$F$427/$F$429</f>
        <v>9.7237556726002497E-2</v>
      </c>
      <c r="AJ427" s="854" cm="1">
        <f t="array" ref="AJ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Data'!$A:$A),_xlfn.XMATCH($B$3,'Talnagögn | Numerical Data'!$1:$1))</f>
        <v>-1.9627284765914936</v>
      </c>
      <c r="AK427" s="862" cm="1">
        <f t="array" ref="AK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Data'!$A:$A),_xlfn.XMATCH($B$3,'Talnagögn | Numerical Data'!$1:$1))-1</f>
        <v>-2.9262609604913781E-2</v>
      </c>
      <c r="AL427" s="854" cm="1">
        <f t="array" ref="AL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Data'!$A:$A),_xlfn.XMATCH($B$2,'Talnagögn | Numerical Data'!$1:$1))</f>
        <v>-3.4637342310281838</v>
      </c>
      <c r="AM427" s="862" cm="1">
        <f t="array" ref="AM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Data'!$A:$A),_xlfn.XMATCH($B$2,'Talnagögn | Numerical Data'!$1:$1))-1</f>
        <v>-5.0510956343596258E-2</v>
      </c>
      <c r="AN427" s="853" cm="1">
        <f t="array" ref="AN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Data'!$A:$A),_xlfn.XMATCH($B$1,'Talnagögn | Numerical Data'!$1:$1))</f>
        <v>-16.763568115236296</v>
      </c>
      <c r="AO427" s="847" cm="1">
        <f t="array" ref="AO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Data'!$A:$A),_xlfn.XMATCH($B$1,'Talnagögn | Numerical Data'!$1:$1))-1</f>
        <v>-0.20474898873137093</v>
      </c>
      <c r="AQ427" s="858" t="str">
        <f>'Talnagögn | Numerical Data'!$E111</f>
        <v>Manure Management</v>
      </c>
      <c r="AR427" s="854" cm="1">
        <f t="array" ref="AR427">INDEX('Talnagögn | Numerical Data'!$1:$1048576,_xlfn.XMATCH($B427,'Talnagögn | Numerical Data'!$B:$B),_xlfn.XMATCH($B$4,'Talnagögn | Numerical Data'!$1:$1))-INDEX('Talnagögn | Numerical Data'!$1:$1048576,_xlfn.XMATCH($A427,'Talnagögn | Numerical Data'!$A:$A),_xlfn.XMATCH($B$2,'Talnagögn | Numerical Data'!$1:$1))</f>
        <v>-4.6849947898987097</v>
      </c>
      <c r="AS427" s="862" cm="1">
        <f t="array" ref="AS427">INDEX('Talnagögn | Numerical Data'!$1:$1048576,_xlfn.XMATCH($B427,'Talnagögn | Numerical Data'!$B:$B),_xlfn.XMATCH($B$4,'Talnagögn | Numerical Data'!$1:$1))/INDEX('Talnagögn | Numerical Data'!$1:$1048576,_xlfn.XMATCH($A427,'Talnagögn | Numerical Data'!$A:$A),_xlfn.XMATCH($B$2,'Talnagögn | Numerical Data'!$1:$1))-1</f>
        <v>-6.832035933435443E-2</v>
      </c>
      <c r="AT427" s="853" cm="1">
        <f t="array" ref="AT427">INDEX('Talnagögn | Numerical Data'!$1:$1048576,_xlfn.XMATCH($B427,'Talnagögn | Numerical Data'!$B:$B),_xlfn.XMATCH($B$5,'Talnagögn | Numerical Data'!$1:$1))-INDEX('Talnagögn | Numerical Data'!$1:$1048576,_xlfn.XMATCH($A427,'Talnagögn | Numerical Data'!$A:$A),_xlfn.XMATCH($B$1,'Talnagögn | Numerical Data'!$1:$1))</f>
        <v>-23.873549283069863</v>
      </c>
      <c r="AU427" s="860" cm="1">
        <f t="array" ref="AU427">INDEX('Talnagögn | Numerical Data'!$1:$1048576,_xlfn.XMATCH($B427,'Talnagögn | Numerical Data'!$B:$B),_xlfn.XMATCH($B$5,'Talnagögn | Numerical Data'!$1:$1))/INDEX('Talnagögn | Numerical Data'!$1:$1048576,_xlfn.XMATCH($A427,'Talnagögn | Numerical Data'!$A:$A),_xlfn.XMATCH($B$1,'Talnagögn | Numerical Data'!$1:$1))-1</f>
        <v>-0.29158977608677183</v>
      </c>
      <c r="AV427" s="853" t="e" cm="1">
        <f t="array" ref="AV427">INDEX('Talnagögn | Numerical Data'!$1:$1048576,_xlfn.XMATCH($C427,'Talnagögn | Numerical Data'!$B:$B),_xlfn.XMATCH($B$4,'Talnagögn | Numerical Data'!$1:$1))-INDEX('Talnagögn | Numerical Data'!$1:$1048576,_xlfn.XMATCH($A427,'Talnagögn | Numerical Data'!$A:$A),_xlfn.XMATCH($B$2,'Talnagögn | Numerical Data'!$1:$1))</f>
        <v>#N/A</v>
      </c>
      <c r="AW427" s="847" t="e" cm="1">
        <f t="array" ref="AW427">INDEX('Talnagögn | Numerical Data'!$1:$1048576,_xlfn.XMATCH($C427,'Talnagögn | Numerical Data'!$B:$B),_xlfn.XMATCH($B$4,'Talnagögn | Numerical Data'!$1:$1))/INDEX('Talnagögn | Numerical Data'!$1:$1048576,_xlfn.XMATCH($A427,'Talnagögn | Numerical Data'!$A:$A),_xlfn.XMATCH($B$2,'Talnagögn | Numerical Data'!$1:$1))-1</f>
        <v>#N/A</v>
      </c>
    </row>
    <row r="428" spans="1:55" s="40" customFormat="1" ht="21" customHeight="1" x14ac:dyDescent="0.4">
      <c r="A428" s="242" t="s">
        <v>102</v>
      </c>
      <c r="B428" s="50" t="s">
        <v>309</v>
      </c>
      <c r="C428" s="50" t="s">
        <v>313</v>
      </c>
      <c r="D428" s="245" t="s">
        <v>48</v>
      </c>
      <c r="E428" s="858" t="str">
        <f>'Talnagögn | Numerical Data'!$D$113</f>
        <v>Kölkun og CO₂-losun frá áburði</v>
      </c>
      <c r="F428" s="854" cm="1">
        <f t="array" ref="F428">INDEX('Talnagögn | Numerical Data'!$1:$1048576,_xlfn.XMATCH($A428,'Talnagögn | Numerical Data'!$A:$A),_xlfn.XMATCH($A$1,'Talnagögn | Numerical Data'!$1:$1))</f>
        <v>6.7861665253922112</v>
      </c>
      <c r="G428" s="862">
        <f>$F$428/$F$429</f>
        <v>1.0134670242190003E-2</v>
      </c>
      <c r="H428" s="854" cm="1">
        <f t="array" ref="H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Data'!$A:$A),_xlfn.XMATCH($B$3,'Talnagögn | Numerical Data'!$1:$1))</f>
        <v>-1.2901462646911401</v>
      </c>
      <c r="I428" s="860" cm="1">
        <f t="array" ref="I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Data'!$A:$A),_xlfn.XMATCH($B$3,'Talnagögn | Numerical Data'!$1:$1))-1</f>
        <v>-0.15974446485966587</v>
      </c>
      <c r="J428" s="854" cm="1">
        <f t="array" ref="J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Data'!$A:$A),_xlfn.XMATCH($B$2,'Talnagögn | Numerical Data'!$1:$1))</f>
        <v>2.2535138695897423</v>
      </c>
      <c r="K428" s="860" cm="1">
        <f t="array" ref="K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Data'!$A:$A),_xlfn.XMATCH($B$2,'Talnagögn | Numerical Data'!$1:$1))-1</f>
        <v>0.49717329800352328</v>
      </c>
      <c r="L428" s="854" cm="1">
        <f t="array" ref="L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Data'!$A:$A),_xlfn.XMATCH($B$1,'Talnagögn | Numerical Data'!$1:$1))</f>
        <v>6.7630665253922109</v>
      </c>
      <c r="M428" s="847" cm="1">
        <f t="array" ref="M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Data'!$A:$A),_xlfn.XMATCH($B$1,'Talnagögn | Numerical Data'!$1:$1))-1</f>
        <v>292.77344265767147</v>
      </c>
      <c r="O428" s="873" t="str">
        <f>'Talnagögn | Numerical Data'!$D$113</f>
        <v>Kölkun og CO₂-losun frá áburði</v>
      </c>
      <c r="P428" s="874" cm="1">
        <f t="array" ref="P428">INDEX('Talnagögn | Numerical Data'!$1:$1048576,_xlfn.XMATCH($B428,'Talnagögn | Numerical Data'!$B:$B),_xlfn.XMATCH($B$4,'Talnagögn | Numerical Data'!$1:$1))-INDEX('Talnagögn | Numerical Data'!$1:$1048576,_xlfn.XMATCH($A428,'Talnagögn | Numerical Data'!$A:$A),_xlfn.XMATCH($B$2,'Talnagögn | Numerical Data'!$1:$1))</f>
        <v>1.995925812604038</v>
      </c>
      <c r="Q428" s="876" cm="1">
        <f t="array" ref="Q428">INDEX('Talnagögn | Numerical Data'!$1:$1048576,_xlfn.XMATCH($B428,'Talnagögn | Numerical Data'!$B:$B),_xlfn.XMATCH($B$4,'Talnagögn | Numerical Data'!$1:$1))/INDEX('Talnagögn | Numerical Data'!$1:$1048576,_xlfn.XMATCH($A428,'Talnagögn | Numerical Data'!$A:$A),_xlfn.XMATCH($B$2,'Talnagögn | Numerical Data'!$1:$1))-1</f>
        <v>0.44034387017257015</v>
      </c>
      <c r="R428" s="874" cm="1">
        <f t="array" ref="R428">INDEX('Talnagögn | Numerical Data'!$1:$1048576,_xlfn.XMATCH($B428,'Talnagögn | Numerical Data'!$B:$B),_xlfn.XMATCH($B$5,'Talnagögn | Numerical Data'!$1:$1))-INDEX('Talnagögn | Numerical Data'!$1:$1048576,_xlfn.XMATCH($A428,'Talnagögn | Numerical Data'!$A:$A),_xlfn.XMATCH($B$1,'Talnagögn | Numerical Data'!$1:$1))</f>
        <v>7.6646500158371458</v>
      </c>
      <c r="S428" s="877" cm="1">
        <f t="array" ref="S428">INDEX('Talnagögn | Numerical Data'!$1:$1048576,_xlfn.XMATCH($B428,'Talnagögn | Numerical Data'!$B:$B),_xlfn.XMATCH($B$5,'Talnagögn | Numerical Data'!$1:$1))/INDEX('Talnagögn | Numerical Data'!$1:$1048576,_xlfn.XMATCH($A428,'Talnagögn | Numerical Data'!$A:$A),_xlfn.XMATCH($B$1,'Talnagögn | Numerical Data'!$1:$1))-1</f>
        <v>331.80303098862106</v>
      </c>
      <c r="AD428" s="760"/>
      <c r="AG428" s="858" t="str">
        <f>'Talnagögn | Numerical Data'!$E113</f>
        <v>Liming and CO₂-Emissions from Fertilizers</v>
      </c>
      <c r="AH428" s="854" cm="1">
        <f t="array" ref="AH428">INDEX('Talnagögn | Numerical Data'!$1:$1048576,_xlfn.XMATCH($A428,'Talnagögn | Numerical Data'!$A:$A),_xlfn.XMATCH($A$1,'Talnagögn | Numerical Data'!$1:$1))</f>
        <v>6.7861665253922112</v>
      </c>
      <c r="AI428" s="862">
        <f>$F$428/$F$429</f>
        <v>1.0134670242190003E-2</v>
      </c>
      <c r="AJ428" s="854" cm="1">
        <f t="array" ref="AJ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Data'!$A:$A),_xlfn.XMATCH($B$3,'Talnagögn | Numerical Data'!$1:$1))</f>
        <v>-1.2901462646911401</v>
      </c>
      <c r="AK428" s="860" cm="1">
        <f t="array" ref="AK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Data'!$A:$A),_xlfn.XMATCH($B$3,'Talnagögn | Numerical Data'!$1:$1))-1</f>
        <v>-0.15974446485966587</v>
      </c>
      <c r="AL428" s="854" cm="1">
        <f t="array" ref="AL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Data'!$A:$A),_xlfn.XMATCH($B$2,'Talnagögn | Numerical Data'!$1:$1))</f>
        <v>2.2535138695897423</v>
      </c>
      <c r="AM428" s="860" cm="1">
        <f t="array" ref="AM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Data'!$A:$A),_xlfn.XMATCH($B$2,'Talnagögn | Numerical Data'!$1:$1))-1</f>
        <v>0.49717329800352328</v>
      </c>
      <c r="AN428" s="854" cm="1">
        <f t="array" ref="AN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Data'!$A:$A),_xlfn.XMATCH($B$1,'Talnagögn | Numerical Data'!$1:$1))</f>
        <v>6.7630665253922109</v>
      </c>
      <c r="AO428" s="847" cm="1">
        <f t="array" ref="AO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Data'!$A:$A),_xlfn.XMATCH($B$1,'Talnagögn | Numerical Data'!$1:$1))-1</f>
        <v>292.77344265767147</v>
      </c>
      <c r="AQ428" s="858" t="str">
        <f>'Talnagögn | Numerical Data'!$E113</f>
        <v>Liming and CO₂-Emissions from Fertilizers</v>
      </c>
      <c r="AR428" s="874" cm="1">
        <f t="array" ref="AR428">INDEX('Talnagögn | Numerical Data'!$1:$1048576,_xlfn.XMATCH($B428,'Talnagögn | Numerical Data'!$B:$B),_xlfn.XMATCH($B$4,'Talnagögn | Numerical Data'!$1:$1))-INDEX('Talnagögn | Numerical Data'!$1:$1048576,_xlfn.XMATCH($A428,'Talnagögn | Numerical Data'!$A:$A),_xlfn.XMATCH($B$2,'Talnagögn | Numerical Data'!$1:$1))</f>
        <v>1.995925812604038</v>
      </c>
      <c r="AS428" s="876" cm="1">
        <f t="array" ref="AS428">INDEX('Talnagögn | Numerical Data'!$1:$1048576,_xlfn.XMATCH($B428,'Talnagögn | Numerical Data'!$B:$B),_xlfn.XMATCH($B$4,'Talnagögn | Numerical Data'!$1:$1))/INDEX('Talnagögn | Numerical Data'!$1:$1048576,_xlfn.XMATCH($A428,'Talnagögn | Numerical Data'!$A:$A),_xlfn.XMATCH($B$2,'Talnagögn | Numerical Data'!$1:$1))-1</f>
        <v>0.44034387017257015</v>
      </c>
      <c r="AT428" s="874" cm="1">
        <f t="array" ref="AT428">INDEX('Talnagögn | Numerical Data'!$1:$1048576,_xlfn.XMATCH($B428,'Talnagögn | Numerical Data'!$B:$B),_xlfn.XMATCH($B$5,'Talnagögn | Numerical Data'!$1:$1))-INDEX('Talnagögn | Numerical Data'!$1:$1048576,_xlfn.XMATCH($A428,'Talnagögn | Numerical Data'!$A:$A),_xlfn.XMATCH($B$1,'Talnagögn | Numerical Data'!$1:$1))</f>
        <v>7.6646500158371458</v>
      </c>
      <c r="AU428" s="876" cm="1">
        <f t="array" ref="AU428">INDEX('Talnagögn | Numerical Data'!$1:$1048576,_xlfn.XMATCH($B428,'Talnagögn | Numerical Data'!$B:$B),_xlfn.XMATCH($B$5,'Talnagögn | Numerical Data'!$1:$1))/INDEX('Talnagögn | Numerical Data'!$1:$1048576,_xlfn.XMATCH($A428,'Talnagögn | Numerical Data'!$A:$A),_xlfn.XMATCH($B$1,'Talnagögn | Numerical Data'!$1:$1))-1</f>
        <v>331.80303098862106</v>
      </c>
      <c r="AV428" s="874" t="e" cm="1">
        <f t="array" ref="AV428">INDEX('Talnagögn | Numerical Data'!$1:$1048576,_xlfn.XMATCH($C428,'Talnagögn | Numerical Data'!$B:$B),_xlfn.XMATCH($B$4,'Talnagögn | Numerical Data'!$1:$1))-INDEX('Talnagögn | Numerical Data'!$1:$1048576,_xlfn.XMATCH($A428,'Talnagögn | Numerical Data'!$A:$A),_xlfn.XMATCH($B$2,'Talnagögn | Numerical Data'!$1:$1))</f>
        <v>#N/A</v>
      </c>
      <c r="AW428" s="877" t="e" cm="1">
        <f t="array" ref="AW428">INDEX('Talnagögn | Numerical Data'!$1:$1048576,_xlfn.XMATCH($C428,'Talnagögn | Numerical Data'!$B:$B),_xlfn.XMATCH($B$4,'Talnagögn | Numerical Data'!$1:$1))/INDEX('Talnagögn | Numerical Data'!$1:$1048576,_xlfn.XMATCH($A428,'Talnagögn | Numerical Data'!$A:$A),_xlfn.XMATCH($B$2,'Talnagögn | Numerical Data'!$1:$1))-1</f>
        <v>#N/A</v>
      </c>
    </row>
    <row r="429" spans="1:55" ht="28.5" customHeight="1" x14ac:dyDescent="0.4">
      <c r="A429" s="50" t="s">
        <v>44</v>
      </c>
      <c r="B429" s="50" t="s">
        <v>268</v>
      </c>
      <c r="C429" s="50" t="s">
        <v>275</v>
      </c>
      <c r="D429" s="245" t="s">
        <v>48</v>
      </c>
      <c r="E429" s="871" t="s">
        <v>12</v>
      </c>
      <c r="F429" s="867" cm="1">
        <f t="array" ref="F429">INDEX('Talnagögn | Numerical Data'!$1:$1048576,_xlfn.XMATCH($A429,'Talnagögn | Numerical Data'!$A:$A),_xlfn.XMATCH($A$1,'Talnagögn | Numerical Data'!$1:$1))</f>
        <v>669.59914464131464</v>
      </c>
      <c r="G429" s="868">
        <f>SUM($G$426:$G$428)</f>
        <v>0.5184984271113029</v>
      </c>
      <c r="H429" s="1006" cm="1">
        <f t="array" ref="H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Data'!$A:$A),_xlfn.XMATCH($B$3,'Talnagögn | Numerical Data'!$1:$1))</f>
        <v>-6.0262763072659027</v>
      </c>
      <c r="I429" s="1057" cm="1">
        <f t="array" ref="I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Data'!$A:$A),_xlfn.XMATCH($B$3,'Talnagögn | Numerical Data'!$1:$1))-1</f>
        <v>-8.9195523442634483E-3</v>
      </c>
      <c r="J429" s="1006" cm="1">
        <f t="array" ref="J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Data'!$A:$A),_xlfn.XMATCH($B$2,'Talnagögn | Numerical Data'!$1:$1))</f>
        <v>-6.7570985142256177</v>
      </c>
      <c r="K429" s="869" cm="1">
        <f t="array" ref="K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Data'!$A:$A),_xlfn.XMATCH($B$2,'Talnagögn | Numerical Data'!$1:$1))-1</f>
        <v>-9.9904430285145951E-3</v>
      </c>
      <c r="L429" s="867" cm="1">
        <f t="array" ref="L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Data'!$A:$A),_xlfn.XMATCH($B$1,'Talnagögn | Numerical Data'!$1:$1))</f>
        <v>-36.171730878748576</v>
      </c>
      <c r="M429" s="870" cm="1">
        <f t="array" ref="M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Data'!$A:$A),_xlfn.XMATCH($B$1,'Talnagögn | Numerical Data'!$1:$1))-1</f>
        <v>-5.1251379354658955E-2</v>
      </c>
      <c r="N429" s="8"/>
      <c r="O429" s="872" t="s">
        <v>12</v>
      </c>
      <c r="P429" s="1005" cm="1">
        <f t="array" ref="P429">INDEX('Talnagögn | Numerical Data'!$1:$1048576,_xlfn.XMATCH($B429,'Talnagögn | Numerical Data'!$B:$B),_xlfn.XMATCH($B$4,'Talnagögn | Numerical Data'!$1:$1))-INDEX('Talnagögn | Numerical Data'!$1:$1048576,_xlfn.XMATCH($A429,'Talnagögn | Numerical Data'!$A:$A),_xlfn.XMATCH($B$2,'Talnagögn | Numerical Data'!$1:$1))</f>
        <v>-6.2097456645392413</v>
      </c>
      <c r="Q429" s="1058" cm="1">
        <f t="array" ref="Q429">INDEX('Talnagögn | Numerical Data'!$1:$1048576,_xlfn.XMATCH($B429,'Talnagögn | Numerical Data'!$B:$B),_xlfn.XMATCH($B$4,'Talnagögn | Numerical Data'!$1:$1))/INDEX('Talnagögn | Numerical Data'!$1:$1048576,_xlfn.XMATCH($A429,'Talnagögn | Numerical Data'!$A:$A),_xlfn.XMATCH($B$2,'Talnagögn | Numerical Data'!$1:$1))-1</f>
        <v>-9.1811759370589163E-3</v>
      </c>
      <c r="R429" s="865" cm="1">
        <f t="array" ref="R429">INDEX('Talnagögn | Numerical Data'!$1:$1048576,_xlfn.XMATCH($B429,'Talnagögn | Numerical Data'!$B:$B),_xlfn.XMATCH($B$5,'Talnagögn | Numerical Data'!$1:$1))-INDEX('Talnagögn | Numerical Data'!$1:$1048576,_xlfn.XMATCH($A429,'Talnagögn | Numerical Data'!$A:$A),_xlfn.XMATCH($B$1,'Talnagögn | Numerical Data'!$1:$1))</f>
        <v>-71.788039626321506</v>
      </c>
      <c r="S429" s="1127" cm="1">
        <f t="array" ref="S429">INDEX('Talnagögn | Numerical Data'!$1:$1048576,_xlfn.XMATCH($B429,'Talnagögn | Numerical Data'!$B:$B),_xlfn.XMATCH($B$5,'Talnagögn | Numerical Data'!$1:$1))/INDEX('Talnagögn | Numerical Data'!$1:$1048576,_xlfn.XMATCH($A429,'Talnagögn | Numerical Data'!$A:$A),_xlfn.XMATCH($B$1,'Talnagögn | Numerical Data'!$1:$1))-1</f>
        <v>-0.10171578640649181</v>
      </c>
      <c r="V429" s="8"/>
      <c r="W429" s="8"/>
      <c r="X429" s="8"/>
      <c r="Y429" s="8"/>
      <c r="Z429" s="8"/>
      <c r="AA429" s="8"/>
      <c r="AB429" s="8"/>
      <c r="AC429" s="8"/>
      <c r="AG429" s="871" t="s">
        <v>164</v>
      </c>
      <c r="AH429" s="867" cm="1">
        <f t="array" ref="AH429">INDEX('Talnagögn | Numerical Data'!$1:$1048576,_xlfn.XMATCH($A429,'Talnagögn | Numerical Data'!$A:$A),_xlfn.XMATCH($A$1,'Talnagögn | Numerical Data'!$1:$1))</f>
        <v>669.59914464131464</v>
      </c>
      <c r="AI429" s="868">
        <f>SUM($G$426:$G$428)</f>
        <v>0.5184984271113029</v>
      </c>
      <c r="AJ429" s="1006" cm="1">
        <f t="array" ref="AJ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Data'!$A:$A),_xlfn.XMATCH($B$3,'Talnagögn | Numerical Data'!$1:$1))</f>
        <v>-6.0262763072659027</v>
      </c>
      <c r="AK429" s="1057" cm="1">
        <f t="array" ref="AK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Data'!$A:$A),_xlfn.XMATCH($B$3,'Talnagögn | Numerical Data'!$1:$1))-1</f>
        <v>-8.9195523442634483E-3</v>
      </c>
      <c r="AL429" s="1006" cm="1">
        <f t="array" ref="AL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Data'!$A:$A),_xlfn.XMATCH($B$2,'Talnagögn | Numerical Data'!$1:$1))</f>
        <v>-6.7570985142256177</v>
      </c>
      <c r="AM429" s="869" cm="1">
        <f t="array" ref="AM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Data'!$A:$A),_xlfn.XMATCH($B$2,'Talnagögn | Numerical Data'!$1:$1))-1</f>
        <v>-9.9904430285145951E-3</v>
      </c>
      <c r="AN429" s="867" cm="1">
        <f t="array" ref="AN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Data'!$A:$A),_xlfn.XMATCH($B$1,'Talnagögn | Numerical Data'!$1:$1))</f>
        <v>-36.171730878748576</v>
      </c>
      <c r="AO429" s="870" cm="1">
        <f t="array" ref="AO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Data'!$A:$A),_xlfn.XMATCH($B$1,'Talnagögn | Numerical Data'!$1:$1))-1</f>
        <v>-5.1251379354658955E-2</v>
      </c>
      <c r="AP429" s="8"/>
      <c r="AQ429" s="872" t="s">
        <v>12</v>
      </c>
      <c r="AR429" s="1005" cm="1">
        <f t="array" ref="AR429">INDEX('Talnagögn | Numerical Data'!$1:$1048576,_xlfn.XMATCH($B429,'Talnagögn | Numerical Data'!$B:$B),_xlfn.XMATCH($B$4,'Talnagögn | Numerical Data'!$1:$1))-INDEX('Talnagögn | Numerical Data'!$1:$1048576,_xlfn.XMATCH($A429,'Talnagögn | Numerical Data'!$A:$A),_xlfn.XMATCH($B$2,'Talnagögn | Numerical Data'!$1:$1))</f>
        <v>-6.2097456645392413</v>
      </c>
      <c r="AS429" s="1058" cm="1">
        <f t="array" ref="AS429">INDEX('Talnagögn | Numerical Data'!$1:$1048576,_xlfn.XMATCH($B429,'Talnagögn | Numerical Data'!$B:$B),_xlfn.XMATCH($B$4,'Talnagögn | Numerical Data'!$1:$1))/INDEX('Talnagögn | Numerical Data'!$1:$1048576,_xlfn.XMATCH($A429,'Talnagögn | Numerical Data'!$A:$A),_xlfn.XMATCH($B$2,'Talnagögn | Numerical Data'!$1:$1))-1</f>
        <v>-9.1811759370589163E-3</v>
      </c>
      <c r="AT429" s="865" cm="1">
        <f t="array" ref="AT429">INDEX('Talnagögn | Numerical Data'!$1:$1048576,_xlfn.XMATCH($B429,'Talnagögn | Numerical Data'!$B:$B),_xlfn.XMATCH($B$5,'Talnagögn | Numerical Data'!$1:$1))-INDEX('Talnagögn | Numerical Data'!$1:$1048576,_xlfn.XMATCH($A429,'Talnagögn | Numerical Data'!$A:$A),_xlfn.XMATCH($B$1,'Talnagögn | Numerical Data'!$1:$1))</f>
        <v>-71.788039626321506</v>
      </c>
      <c r="AU429" s="864" cm="1">
        <f t="array" ref="AU429">INDEX('Talnagögn | Numerical Data'!$1:$1048576,_xlfn.XMATCH($B429,'Talnagögn | Numerical Data'!$B:$B),_xlfn.XMATCH($B$5,'Talnagögn | Numerical Data'!$1:$1))/INDEX('Talnagögn | Numerical Data'!$1:$1048576,_xlfn.XMATCH($A429,'Talnagögn | Numerical Data'!$A:$A),_xlfn.XMATCH($B$1,'Talnagögn | Numerical Data'!$1:$1))-1</f>
        <v>-0.10171578640649181</v>
      </c>
      <c r="AV429" s="865" t="e" cm="1">
        <f t="array" ref="AV429">INDEX('Talnagögn | Numerical Data'!$1:$1048576,_xlfn.XMATCH($C429,'Talnagögn | Numerical Data'!$B:$B),_xlfn.XMATCH($B$4,'Talnagögn | Numerical Data'!$1:$1))-INDEX('Talnagögn | Numerical Data'!$1:$1048576,_xlfn.XMATCH($A429,'Talnagögn | Numerical Data'!$A:$A),_xlfn.XMATCH($B$2,'Talnagögn | Numerical Data'!$1:$1))</f>
        <v>#N/A</v>
      </c>
      <c r="AW429" s="885" t="e" cm="1">
        <f t="array" ref="AW429">INDEX('Talnagögn | Numerical Data'!$1:$1048576,_xlfn.XMATCH($C429,'Talnagögn | Numerical Data'!$B:$B),_xlfn.XMATCH($B$4,'Talnagögn | Numerical Data'!$1:$1))/INDEX('Talnagögn | Numerical Data'!$1:$1048576,_xlfn.XMATCH($A429,'Talnagögn | Numerical Data'!$A:$A),_xlfn.XMATCH($B$2,'Talnagögn | Numerical Data'!$1:$1))-1</f>
        <v>#N/A</v>
      </c>
      <c r="AX429" s="8"/>
      <c r="AY429" s="8"/>
      <c r="AZ429" s="8"/>
      <c r="BA429" s="8"/>
      <c r="BB429" s="8"/>
      <c r="BC429" s="8"/>
    </row>
    <row r="430" spans="1:55" s="40" customFormat="1" x14ac:dyDescent="0.4">
      <c r="A430" s="50"/>
      <c r="B430" s="1040"/>
      <c r="C430" s="1038"/>
      <c r="D430" s="245" t="s">
        <v>48</v>
      </c>
      <c r="E430" s="850"/>
      <c r="F430" s="849"/>
      <c r="G430" s="849"/>
      <c r="H430" s="849"/>
      <c r="I430" s="849"/>
      <c r="J430" s="849"/>
      <c r="K430" s="849"/>
      <c r="L430" s="849"/>
      <c r="M430" s="849"/>
      <c r="N430" s="849"/>
      <c r="O430" s="849"/>
      <c r="P430" s="849"/>
      <c r="Q430" s="849"/>
      <c r="R430" s="849"/>
      <c r="S430" s="851"/>
      <c r="T430" s="851"/>
      <c r="U430" s="851"/>
      <c r="V430" s="851"/>
      <c r="W430" s="851"/>
      <c r="X430" s="851"/>
      <c r="Y430" s="851"/>
      <c r="Z430" s="851"/>
      <c r="AA430" s="851"/>
      <c r="AB430" s="851"/>
      <c r="AC430" s="851"/>
      <c r="AD430" s="762"/>
      <c r="AG430" s="850"/>
      <c r="AH430" s="849"/>
      <c r="AI430" s="849"/>
      <c r="AJ430" s="849"/>
      <c r="AK430" s="849"/>
      <c r="AL430" s="849"/>
      <c r="AM430" s="849"/>
      <c r="AN430" s="849"/>
      <c r="AO430" s="849"/>
      <c r="AP430" s="849"/>
      <c r="AQ430" s="849"/>
      <c r="AR430" s="849"/>
      <c r="AS430" s="849"/>
      <c r="AT430" s="849"/>
      <c r="AU430" s="851"/>
      <c r="AV430" s="851"/>
      <c r="AW430" s="851"/>
      <c r="AX430" s="851"/>
      <c r="AY430" s="851"/>
      <c r="AZ430" s="851"/>
      <c r="BA430" s="851"/>
      <c r="BB430" s="851"/>
      <c r="BC430" s="851"/>
    </row>
    <row r="431" spans="1:55" s="40" customFormat="1" ht="24.6" x14ac:dyDescent="0.55000000000000004">
      <c r="A431" s="50"/>
      <c r="B431" s="1040"/>
      <c r="C431" s="1038"/>
      <c r="D431" s="245"/>
      <c r="E431" s="1134" t="s">
        <v>473</v>
      </c>
      <c r="F431" s="849"/>
      <c r="G431" s="849"/>
      <c r="H431" s="849"/>
      <c r="I431" s="849"/>
      <c r="J431" s="849"/>
      <c r="K431" s="849"/>
      <c r="L431" s="849"/>
      <c r="M431" s="849"/>
      <c r="N431" s="849"/>
      <c r="O431" s="849"/>
      <c r="P431" s="849"/>
      <c r="Q431" s="849"/>
      <c r="R431" s="849"/>
      <c r="S431" s="851"/>
      <c r="T431" s="851"/>
      <c r="U431" s="851"/>
      <c r="V431" s="851"/>
      <c r="W431" s="851"/>
      <c r="X431" s="851"/>
      <c r="Y431" s="851"/>
      <c r="Z431" s="851"/>
      <c r="AA431" s="851"/>
      <c r="AB431" s="851"/>
      <c r="AC431" s="851"/>
      <c r="AD431" s="762"/>
      <c r="AG431" s="1134" t="s">
        <v>472</v>
      </c>
      <c r="AH431" s="849"/>
      <c r="AI431" s="849"/>
      <c r="AJ431" s="849"/>
      <c r="AK431" s="849"/>
      <c r="AL431" s="849"/>
      <c r="AM431" s="849"/>
      <c r="AN431" s="849"/>
      <c r="AO431" s="849"/>
      <c r="AP431" s="849"/>
      <c r="AQ431" s="849"/>
      <c r="AR431" s="849"/>
      <c r="AS431" s="849"/>
      <c r="AT431" s="849"/>
      <c r="AU431" s="851"/>
      <c r="AV431" s="851"/>
      <c r="AW431" s="851"/>
      <c r="AX431" s="851"/>
      <c r="AY431" s="851"/>
      <c r="AZ431" s="851"/>
      <c r="BA431" s="851"/>
      <c r="BB431" s="851"/>
      <c r="BC431" s="851"/>
    </row>
    <row r="432" spans="1:55" ht="47.4" customHeight="1" x14ac:dyDescent="0.4">
      <c r="D432" s="236"/>
      <c r="E432" s="1235" t="str">
        <f>"STAÐAN ÁRIÐ "&amp;$A$1</f>
        <v>STAÐAN ÁRIÐ 2024</v>
      </c>
      <c r="F432" s="888"/>
      <c r="G432" s="888"/>
      <c r="H432" s="888"/>
      <c r="I432" s="888"/>
      <c r="J432" s="888"/>
      <c r="K432" s="888"/>
      <c r="L432" s="888"/>
      <c r="M432" s="888"/>
      <c r="O432" s="1235" t="s">
        <v>403</v>
      </c>
      <c r="P432" s="1237" t="s">
        <v>416</v>
      </c>
      <c r="Q432" s="1238"/>
      <c r="R432" s="1238"/>
      <c r="S432" s="1238"/>
      <c r="AG432" s="1235" t="str">
        <f>$AG$6</f>
        <v>2024 EMISSIONS</v>
      </c>
      <c r="AH432" s="888"/>
      <c r="AI432" s="888"/>
      <c r="AJ432" s="888"/>
      <c r="AK432" s="888"/>
      <c r="AL432" s="888"/>
      <c r="AM432" s="888"/>
      <c r="AN432" s="888"/>
      <c r="AO432" s="888"/>
      <c r="AQ432" s="1235" t="str">
        <f>$AQ$6</f>
        <v>OUTLOOKS</v>
      </c>
      <c r="AR432" s="1237" t="str">
        <f>$AR$6</f>
        <v>Estimated change in emissions based on
With Existing Measures scenario</v>
      </c>
      <c r="AS432" s="1238"/>
      <c r="AT432" s="1238"/>
      <c r="AU432" s="1239"/>
      <c r="AV432" s="1240" t="str">
        <f>$AV$6</f>
        <v>Estimated change in emissions based on
With Addiotional Measures scenario</v>
      </c>
      <c r="AW432" s="1238"/>
    </row>
    <row r="433" spans="1:55" s="40" customFormat="1" ht="16.95" customHeight="1" x14ac:dyDescent="0.4">
      <c r="A433" s="50"/>
      <c r="B433" s="1038"/>
      <c r="C433" s="1038"/>
      <c r="D433" s="245" t="s">
        <v>48</v>
      </c>
      <c r="E433" s="1235"/>
      <c r="F433" s="1233" t="str">
        <f>"Losun "&amp;$A$1</f>
        <v>Losun 2024</v>
      </c>
      <c r="G433" s="1231"/>
      <c r="H433" s="1232" t="str">
        <f>"Breyting frá "&amp;$B$3</f>
        <v>Breyting frá 2023</v>
      </c>
      <c r="I433" s="1231"/>
      <c r="J433" s="1232" t="str">
        <f>"Breyting frá "&amp;$B$2</f>
        <v>Breyting frá 2005</v>
      </c>
      <c r="K433" s="1231"/>
      <c r="L433" s="1232" t="str">
        <f>"Breyting frá "&amp;$B$1</f>
        <v>Breyting frá 1990</v>
      </c>
      <c r="M433" s="1233"/>
      <c r="N433" s="240"/>
      <c r="O433" s="1235"/>
      <c r="P433" s="1232" t="s">
        <v>417</v>
      </c>
      <c r="Q433" s="1231"/>
      <c r="R433" s="1232" t="s">
        <v>418</v>
      </c>
      <c r="S433" s="1233"/>
      <c r="T433" s="397"/>
      <c r="U433" s="397"/>
      <c r="V433" s="397"/>
      <c r="W433" s="397"/>
      <c r="X433" s="397"/>
      <c r="Y433" s="397"/>
      <c r="Z433" s="397"/>
      <c r="AA433" s="397"/>
      <c r="AB433" s="397"/>
      <c r="AC433" s="397"/>
      <c r="AD433" s="762"/>
      <c r="AG433" s="1235"/>
      <c r="AH433" s="1234" t="str">
        <f>$AH$7</f>
        <v>Emissions in 2023</v>
      </c>
      <c r="AI433" s="1231"/>
      <c r="AJ433" s="1232" t="str">
        <f>$AJ$7</f>
        <v>Change from 2022</v>
      </c>
      <c r="AK433" s="1231"/>
      <c r="AL433" s="1232" t="str">
        <f>$AL$7</f>
        <v>Change from 2005</v>
      </c>
      <c r="AM433" s="1231"/>
      <c r="AN433" s="1232" t="str">
        <f>$AN$7</f>
        <v>Change from 1990</v>
      </c>
      <c r="AO433" s="1233"/>
      <c r="AP433" s="240"/>
      <c r="AQ433" s="1235"/>
      <c r="AR433" s="1234" t="str">
        <f>$AR$7</f>
        <v>2030 compared to 2005</v>
      </c>
      <c r="AS433" s="1231"/>
      <c r="AT433" s="1232" t="str">
        <f>$AT$7</f>
        <v>2055 compared to 1990</v>
      </c>
      <c r="AU433" s="1231"/>
      <c r="AV433" s="1232" t="str">
        <f>$AR$7</f>
        <v>2030 compared to 2005</v>
      </c>
      <c r="AW433" s="1231"/>
      <c r="AX433" s="397"/>
      <c r="AY433" s="397"/>
      <c r="AZ433" s="397"/>
      <c r="BA433" s="397"/>
      <c r="BB433" s="397"/>
      <c r="BC433" s="397"/>
    </row>
    <row r="434" spans="1:55" s="40" customFormat="1" ht="17.399999999999999" customHeight="1" thickBot="1" x14ac:dyDescent="0.45">
      <c r="A434" s="50"/>
      <c r="B434" s="1038"/>
      <c r="C434" s="1038"/>
      <c r="D434" s="245" t="s">
        <v>48</v>
      </c>
      <c r="E434" s="1236"/>
      <c r="F434" s="855" t="s">
        <v>430</v>
      </c>
      <c r="G434" s="856" t="s">
        <v>4</v>
      </c>
      <c r="H434" s="855" t="str">
        <f>$F$8</f>
        <v>Þús. tonn CO₂-íg.</v>
      </c>
      <c r="I434" s="856" t="s">
        <v>4</v>
      </c>
      <c r="J434" s="855" t="str">
        <f>$F$8</f>
        <v>Þús. tonn CO₂-íg.</v>
      </c>
      <c r="K434" s="856" t="s">
        <v>4</v>
      </c>
      <c r="L434" s="855" t="str">
        <f>$F$8</f>
        <v>Þús. tonn CO₂-íg.</v>
      </c>
      <c r="M434" s="855" t="s">
        <v>4</v>
      </c>
      <c r="N434" s="240"/>
      <c r="O434" s="1236"/>
      <c r="P434" s="855" t="str">
        <f>$F$8</f>
        <v>Þús. tonn CO₂-íg.</v>
      </c>
      <c r="Q434" s="856" t="s">
        <v>4</v>
      </c>
      <c r="R434" s="855" t="str">
        <f>$F$8</f>
        <v>Þús. tonn CO₂-íg.</v>
      </c>
      <c r="S434" s="855" t="s">
        <v>4</v>
      </c>
      <c r="T434" s="397"/>
      <c r="U434" s="397"/>
      <c r="V434" s="397"/>
      <c r="W434" s="397"/>
      <c r="X434" s="397"/>
      <c r="Y434" s="397"/>
      <c r="Z434" s="397"/>
      <c r="AA434" s="397"/>
      <c r="AB434" s="397"/>
      <c r="AC434" s="397"/>
      <c r="AD434" s="762"/>
      <c r="AG434" s="1236"/>
      <c r="AH434" s="855" t="str">
        <f>$AH$8</f>
        <v>Thousand tons CO₂e</v>
      </c>
      <c r="AI434" s="856" t="s">
        <v>4</v>
      </c>
      <c r="AJ434" s="855" t="str">
        <f>$AH$8</f>
        <v>Thousand tons CO₂e</v>
      </c>
      <c r="AK434" s="856" t="s">
        <v>4</v>
      </c>
      <c r="AL434" s="855" t="str">
        <f>$F$8</f>
        <v>Þús. tonn CO₂-íg.</v>
      </c>
      <c r="AM434" s="856" t="s">
        <v>4</v>
      </c>
      <c r="AN434" s="855" t="str">
        <f>$AH$8</f>
        <v>Thousand tons CO₂e</v>
      </c>
      <c r="AO434" s="855" t="s">
        <v>4</v>
      </c>
      <c r="AP434" s="240"/>
      <c r="AQ434" s="1236"/>
      <c r="AR434" s="855" t="str">
        <f>$AH$8</f>
        <v>Thousand tons CO₂e</v>
      </c>
      <c r="AS434" s="856" t="s">
        <v>4</v>
      </c>
      <c r="AT434" s="855" t="str">
        <f>$AH$8</f>
        <v>Thousand tons CO₂e</v>
      </c>
      <c r="AU434" s="856" t="s">
        <v>4</v>
      </c>
      <c r="AV434" s="855" t="str">
        <f>$AH$8</f>
        <v>Thousand tons CO₂e</v>
      </c>
      <c r="AW434" s="855" t="s">
        <v>4</v>
      </c>
      <c r="AX434" s="397"/>
      <c r="AY434" s="397"/>
      <c r="AZ434" s="397"/>
      <c r="BA434" s="397"/>
      <c r="BB434" s="397"/>
      <c r="BC434" s="397"/>
    </row>
    <row r="435" spans="1:55" s="40" customFormat="1" ht="21" customHeight="1" thickTop="1" x14ac:dyDescent="0.4">
      <c r="A435" s="50" t="s">
        <v>75</v>
      </c>
      <c r="B435" s="50" t="s">
        <v>318</v>
      </c>
      <c r="C435" s="50" t="s">
        <v>324</v>
      </c>
      <c r="D435" s="245" t="s">
        <v>48</v>
      </c>
      <c r="E435" s="881" t="str">
        <f>'Talnagögn | Numerical Data'!$D$151</f>
        <v>Framræst land (N₂O)</v>
      </c>
      <c r="F435" s="852" cm="1">
        <f t="array" ref="F435">INDEX('Talnagögn | Numerical Data'!$1:$1048576,_xlfn.XMATCH($A435,'Talnagögn | Numerical Data'!$B:$B),_xlfn.XMATCH($A$1,'Talnagögn | Numerical Data'!$1:$1))</f>
        <v>198.59147831329477</v>
      </c>
      <c r="G435" s="860">
        <f>$F$435/$F$441</f>
        <v>0.29658263440535698</v>
      </c>
      <c r="H435" s="878" cm="1">
        <f t="array" ref="H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Data'!$B:$B),_xlfn.XMATCH($B$3,'Talnagögn | Numerical Data'!$1:$1))</f>
        <v>0.91297536024435999</v>
      </c>
      <c r="I435" s="863" cm="1">
        <f t="array" ref="I435">INDEX('Talnagögn | Numerical Data'!$1:$1048576, _xlfn.XMATCH($A435,'Talnagögn | Numerical Data'!$B:$B), _xlfn.XMATCH($A$1,'Talnagögn | Numerical Data'!$1:$1))/INDEX('Talnagögn | Numerical Data'!$1:$1048576, _xlfn.XMATCH($A435,'Talnagögn | Numerical Data'!$B:$B), _xlfn.XMATCH($B$3,'Talnagögn | Numerical Data'!$1:$1))-1</f>
        <v>4.6184858070339452E-3</v>
      </c>
      <c r="J435" s="853" cm="1">
        <f t="array" ref="J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Data'!$B:$B),_xlfn.XMATCH($B$2,'Talnagögn | Numerical Data'!$1:$1))</f>
        <v>12.801385498784867</v>
      </c>
      <c r="K435" s="862" cm="1">
        <f t="array" ref="K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Data'!$B:$B),_xlfn.XMATCH($B$2,'Talnagögn | Numerical Data'!$1:$1))-1</f>
        <v>6.8902411882454828E-2</v>
      </c>
      <c r="L435" s="853" cm="1">
        <f t="array" ref="L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Data'!$B:$B),_xlfn.XMATCH($B$1,'Talnagögn | Numerical Data'!$1:$1))</f>
        <v>64.509378963135418</v>
      </c>
      <c r="M435" s="847" cm="1">
        <f t="array" ref="M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Data'!$B:$B),_xlfn.XMATCH($B$1,'Talnagögn | Numerical Data'!$1:$1))-1</f>
        <v>0.48111850333329942</v>
      </c>
      <c r="O435" s="881" t="str">
        <f>'Talnagögn | Numerical Data'!$D$151</f>
        <v>Framræst land (N₂O)</v>
      </c>
      <c r="P435" s="853" cm="1">
        <f t="array" ref="P435">INDEX('Talnagögn | Numerical Data'!$1:$1048576,_xlfn.XMATCH($B435,'Talnagögn | Numerical Data'!$B:$B),_xlfn.XMATCH($B$4,'Talnagögn | Numerical Data'!$1:$1))-INDEX('Talnagögn | Numerical Data'!$1:$1048576,_xlfn.XMATCH($A435,'Talnagögn | Numerical Data'!$B:$B),_xlfn.XMATCH($B$2,'Talnagögn | Numerical Data'!$1:$1))</f>
        <v>18.809585167095975</v>
      </c>
      <c r="Q435" s="860" cm="1">
        <f t="array" ref="Q435">INDEX('Talnagögn | Numerical Data'!$1:$1048576,_xlfn.XMATCH($B435,'Talnagögn | Numerical Data'!$B:$B),_xlfn.XMATCH($B$4,'Talnagögn | Numerical Data'!$1:$1))/INDEX('Talnagögn | Numerical Data'!$1:$1048576,_xlfn.XMATCH($A435,'Talnagögn | Numerical Data'!$B:$B),_xlfn.XMATCH($B$2,'Talnagögn | Numerical Data'!$1:$1))-1</f>
        <v>0.10124105587198984</v>
      </c>
      <c r="R435" s="852" cm="1">
        <f t="array" ref="R435">INDEX('Talnagögn | Numerical Data'!$1:$1048576,_xlfn.XMATCH($B435,'Talnagögn | Numerical Data'!$B:$B),_xlfn.XMATCH($B$5,'Talnagögn | Numerical Data'!$1:$1))-INDEX('Talnagögn | Numerical Data'!$1:$1048576,_xlfn.XMATCH($A435,'Talnagögn | Numerical Data'!$B:$B),_xlfn.XMATCH($B$1,'Talnagögn | Numerical Data'!$1:$1))</f>
        <v>80.79994123671176</v>
      </c>
      <c r="S435" s="847" cm="1">
        <f t="array" ref="S435">INDEX('Talnagögn | Numerical Data'!$1:$1048576,_xlfn.XMATCH($B435,'Talnagögn | Numerical Data'!$B:$B),_xlfn.XMATCH($B$5,'Talnagögn | Numerical Data'!$1:$1))/INDEX('Talnagögn | Numerical Data'!$1:$1048576,_xlfn.XMATCH($A435,'Talnagögn | Numerical Data'!$B:$B),_xlfn.XMATCH($B$1,'Talnagögn | Numerical Data'!$1:$1))-1</f>
        <v>0.60261542464143791</v>
      </c>
      <c r="AD435" s="760"/>
      <c r="AG435" s="881" t="str">
        <f>'Talnagögn | Numerical Data'!$E$151</f>
        <v>Cultivation of Organic Soils (N₂O)</v>
      </c>
      <c r="AH435" s="852" cm="1">
        <f t="array" ref="AH435">INDEX('Talnagögn | Numerical Data'!$1:$1048576,_xlfn.XMATCH($A435,'Talnagögn | Numerical Data'!$B:$B),_xlfn.XMATCH($A$1,'Talnagögn | Numerical Data'!$1:$1))</f>
        <v>198.59147831329477</v>
      </c>
      <c r="AI435" s="860">
        <f>$F$435/$F$441</f>
        <v>0.29658263440535698</v>
      </c>
      <c r="AJ435" s="878" cm="1">
        <f t="array" ref="AJ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Data'!$B:$B),_xlfn.XMATCH($B$3,'Talnagögn | Numerical Data'!$1:$1))</f>
        <v>0.91297536024435999</v>
      </c>
      <c r="AK435" s="863" cm="1">
        <f t="array" ref="AK435">INDEX('Talnagögn | Numerical Data'!$1:$1048576, _xlfn.XMATCH($A435,'Talnagögn | Numerical Data'!$B:$B), _xlfn.XMATCH($A$1,'Talnagögn | Numerical Data'!$1:$1))/INDEX('Talnagögn | Numerical Data'!$1:$1048576, _xlfn.XMATCH($A435,'Talnagögn | Numerical Data'!$B:$B), _xlfn.XMATCH($B$3,'Talnagögn | Numerical Data'!$1:$1))-1</f>
        <v>4.6184858070339452E-3</v>
      </c>
      <c r="AL435" s="853" cm="1">
        <f t="array" ref="AL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Data'!$B:$B),_xlfn.XMATCH($B$2,'Talnagögn | Numerical Data'!$1:$1))</f>
        <v>12.801385498784867</v>
      </c>
      <c r="AM435" s="862" cm="1">
        <f t="array" ref="AM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Data'!$B:$B),_xlfn.XMATCH($B$2,'Talnagögn | Numerical Data'!$1:$1))-1</f>
        <v>6.8902411882454828E-2</v>
      </c>
      <c r="AN435" s="853" cm="1">
        <f t="array" ref="AN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Data'!$B:$B),_xlfn.XMATCH($B$1,'Talnagögn | Numerical Data'!$1:$1))</f>
        <v>64.509378963135418</v>
      </c>
      <c r="AO435" s="847" cm="1">
        <f t="array" ref="AO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Data'!$B:$B),_xlfn.XMATCH($B$1,'Talnagögn | Numerical Data'!$1:$1))-1</f>
        <v>0.48111850333329942</v>
      </c>
      <c r="AQ435" s="881" t="str">
        <f>'Talnagögn | Numerical Data'!$E$151</f>
        <v>Cultivation of Organic Soils (N₂O)</v>
      </c>
      <c r="AR435" s="853" cm="1">
        <f t="array" ref="AR435">INDEX('Talnagögn | Numerical Data'!$1:$1048576,_xlfn.XMATCH($B435,'Talnagögn | Numerical Data'!$B:$B),_xlfn.XMATCH($B$4,'Talnagögn | Numerical Data'!$1:$1))-INDEX('Talnagögn | Numerical Data'!$1:$1048576,_xlfn.XMATCH($A435,'Talnagögn | Numerical Data'!$B:$B),_xlfn.XMATCH($B$2,'Talnagögn | Numerical Data'!$1:$1))</f>
        <v>18.809585167095975</v>
      </c>
      <c r="AS435" s="860" cm="1">
        <f t="array" ref="AS435">INDEX('Talnagögn | Numerical Data'!$1:$1048576,_xlfn.XMATCH($B435,'Talnagögn | Numerical Data'!$B:$B),_xlfn.XMATCH($B$4,'Talnagögn | Numerical Data'!$1:$1))/INDEX('Talnagögn | Numerical Data'!$1:$1048576,_xlfn.XMATCH($A435,'Talnagögn | Numerical Data'!$B:$B),_xlfn.XMATCH($B$2,'Talnagögn | Numerical Data'!$1:$1))-1</f>
        <v>0.10124105587198984</v>
      </c>
      <c r="AT435" s="852" cm="1">
        <f t="array" ref="AT435">INDEX('Talnagögn | Numerical Data'!$1:$1048576,_xlfn.XMATCH($B435,'Talnagögn | Numerical Data'!$B:$B),_xlfn.XMATCH($B$5,'Talnagögn | Numerical Data'!$1:$1))-INDEX('Talnagögn | Numerical Data'!$1:$1048576,_xlfn.XMATCH($A435,'Talnagögn | Numerical Data'!$B:$B),_xlfn.XMATCH($B$1,'Talnagögn | Numerical Data'!$1:$1))</f>
        <v>80.79994123671176</v>
      </c>
      <c r="AU435" s="860" cm="1">
        <f t="array" ref="AU435">INDEX('Talnagögn | Numerical Data'!$1:$1048576,_xlfn.XMATCH($B435,'Talnagögn | Numerical Data'!$B:$B),_xlfn.XMATCH($B$5,'Talnagögn | Numerical Data'!$1:$1))/INDEX('Talnagögn | Numerical Data'!$1:$1048576,_xlfn.XMATCH($A435,'Talnagögn | Numerical Data'!$B:$B),_xlfn.XMATCH($B$1,'Talnagögn | Numerical Data'!$1:$1))-1</f>
        <v>0.60261542464143791</v>
      </c>
      <c r="AV435" s="853" t="e" cm="1">
        <f t="array" ref="AV435">INDEX('Talnagögn | Numerical Data'!$1:$1048576,_xlfn.XMATCH($C435,'Talnagögn | Numerical Data'!$B:$B),_xlfn.XMATCH($B$4,'Talnagögn | Numerical Data'!$1:$1))-INDEX('Talnagögn | Numerical Data'!$1:$1048576,_xlfn.XMATCH($A435,'Talnagögn | Numerical Data'!$B:$B),_xlfn.XMATCH($B$2,'Talnagögn | Numerical Data'!$1:$1))</f>
        <v>#N/A</v>
      </c>
      <c r="AW435" s="847" t="e" cm="1">
        <f t="array" ref="AW435">INDEX('Talnagögn | Numerical Data'!$1:$1048576,_xlfn.XMATCH($C435,'Talnagögn | Numerical Data'!$B:$B),_xlfn.XMATCH($B$4,'Talnagögn | Numerical Data'!$1:$1))/INDEX('Talnagögn | Numerical Data'!$1:$1048576,_xlfn.XMATCH($A435,'Talnagögn | Numerical Data'!$B:$B),_xlfn.XMATCH($B$2,'Talnagögn | Numerical Data'!$1:$1))-1</f>
        <v>#N/A</v>
      </c>
    </row>
    <row r="436" spans="1:55" s="40" customFormat="1" ht="21" customHeight="1" x14ac:dyDescent="0.4">
      <c r="A436" s="50" t="s">
        <v>104</v>
      </c>
      <c r="B436" s="50" t="s">
        <v>315</v>
      </c>
      <c r="C436" s="50" t="s">
        <v>321</v>
      </c>
      <c r="D436" s="245" t="s">
        <v>48</v>
      </c>
      <c r="E436" s="880" t="str">
        <f>'Talnagögn | Numerical Data'!$D$139</f>
        <v>Nautgripir</v>
      </c>
      <c r="F436" s="852" cm="1">
        <f t="array" ref="F436">INDEX('Talnagögn | Numerical Data'!$1:$1048576,_xlfn.XMATCH($A436,'Talnagögn | Numerical Data'!$B:$B),_xlfn.XMATCH($A$1,'Talnagögn | Numerical Data'!$1:$1))</f>
        <v>169.57799558750742</v>
      </c>
      <c r="G436" s="860">
        <f>$F$436/$F$441</f>
        <v>0.25325300509209214</v>
      </c>
      <c r="H436" s="854" cm="1">
        <f t="array" ref="H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Data'!$B:$B),_xlfn.XMATCH($B$3,'Talnagögn | Numerical Data'!$1:$1))</f>
        <v>-2.787424780635547</v>
      </c>
      <c r="I436" s="862" cm="1">
        <f t="array" ref="I436">INDEX('Talnagögn | Numerical Data'!$1:$1048576, _xlfn.XMATCH($A436,'Talnagögn | Numerical Data'!$B:$B), _xlfn.XMATCH($A$1,'Talnagögn | Numerical Data'!$1:$1))/INDEX('Talnagögn | Numerical Data'!$1:$1048576, _xlfn.XMATCH($A436,'Talnagögn | Numerical Data'!$B:$B), _xlfn.XMATCH($B$3,'Talnagögn | Numerical Data'!$1:$1))-1</f>
        <v>-1.6171600862180391E-2</v>
      </c>
      <c r="J436" s="853" cm="1">
        <f t="array" ref="J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Data'!$B:$B),_xlfn.XMATCH($B$2,'Talnagögn | Numerical Data'!$1:$1))</f>
        <v>28.913781312879564</v>
      </c>
      <c r="K436" s="860" cm="1">
        <f t="array" ref="K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Data'!$B:$B),_xlfn.XMATCH($B$2,'Talnagögn | Numerical Data'!$1:$1))-1</f>
        <v>0.20555179198903661</v>
      </c>
      <c r="L436" s="854" cm="1">
        <f t="array" ref="L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Data'!$B:$B),_xlfn.XMATCH($B$1,'Talnagögn | Numerical Data'!$1:$1))</f>
        <v>3.9168739693973578</v>
      </c>
      <c r="M436" s="848" cm="1">
        <f t="array" ref="M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Data'!$B:$B),_xlfn.XMATCH($B$1,'Talnagögn | Numerical Data'!$1:$1))-1</f>
        <v>2.3643893818531048E-2</v>
      </c>
      <c r="O436" s="880" t="str">
        <f>'Talnagögn | Numerical Data'!$D$139</f>
        <v>Nautgripir</v>
      </c>
      <c r="P436" s="853" cm="1">
        <f t="array" ref="P436">INDEX('Talnagögn | Numerical Data'!$1:$1048576,_xlfn.XMATCH($B436,'Talnagögn | Numerical Data'!$B:$B),_xlfn.XMATCH($B$4,'Talnagögn | Numerical Data'!$1:$1))-INDEX('Talnagögn | Numerical Data'!$1:$1048576,_xlfn.XMATCH($A436,'Talnagögn | Numerical Data'!$B:$B),_xlfn.XMATCH($B$2,'Talnagögn | Numerical Data'!$1:$1))</f>
        <v>28.607687637593273</v>
      </c>
      <c r="Q436" s="860" cm="1">
        <f t="array" ref="Q436">INDEX('Talnagögn | Numerical Data'!$1:$1048576,_xlfn.XMATCH($B436,'Talnagögn | Numerical Data'!$B:$B),_xlfn.XMATCH($B$4,'Talnagögn | Numerical Data'!$1:$1))/INDEX('Talnagögn | Numerical Data'!$1:$1048576,_xlfn.XMATCH($A436,'Talnagögn | Numerical Data'!$B:$B),_xlfn.XMATCH($B$2,'Talnagögn | Numerical Data'!$1:$1))-1</f>
        <v>0.20337573266318199</v>
      </c>
      <c r="R436" s="1059" cm="1">
        <f t="array" ref="R436">INDEX('Talnagögn | Numerical Data'!$1:$1048576,_xlfn.XMATCH($B436,'Talnagögn | Numerical Data'!$B:$B),_xlfn.XMATCH($B$5,'Talnagögn | Numerical Data'!$1:$1))-INDEX('Talnagögn | Numerical Data'!$1:$1048576,_xlfn.XMATCH($A436,'Talnagögn | Numerical Data'!$B:$B),_xlfn.XMATCH($B$1,'Talnagögn | Numerical Data'!$1:$1))</f>
        <v>-0.68423458454117281</v>
      </c>
      <c r="S436" s="1128" cm="1">
        <f t="array" ref="S436">INDEX('Talnagögn | Numerical Data'!$1:$1048576,_xlfn.XMATCH($B436,'Talnagögn | Numerical Data'!$B:$B),_xlfn.XMATCH($B$5,'Talnagögn | Numerical Data'!$1:$1))/INDEX('Talnagögn | Numerical Data'!$1:$1048576,_xlfn.XMATCH($A436,'Talnagögn | Numerical Data'!$B:$B),_xlfn.XMATCH($B$1,'Talnagögn | Numerical Data'!$1:$1))-1</f>
        <v>-4.1303268857403319E-3</v>
      </c>
      <c r="AD436" s="760"/>
      <c r="AG436" s="880" t="str">
        <f>'Talnagögn | Numerical Data'!$E$139</f>
        <v>Cattle</v>
      </c>
      <c r="AH436" s="852" cm="1">
        <f t="array" ref="AH436">INDEX('Talnagögn | Numerical Data'!$1:$1048576,_xlfn.XMATCH($A436,'Talnagögn | Numerical Data'!$B:$B),_xlfn.XMATCH($A$1,'Talnagögn | Numerical Data'!$1:$1))</f>
        <v>169.57799558750742</v>
      </c>
      <c r="AI436" s="860">
        <f>$F$436/$F$441</f>
        <v>0.25325300509209214</v>
      </c>
      <c r="AJ436" s="854" cm="1">
        <f t="array" ref="AJ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Data'!$B:$B),_xlfn.XMATCH($B$3,'Talnagögn | Numerical Data'!$1:$1))</f>
        <v>-2.787424780635547</v>
      </c>
      <c r="AK436" s="862" cm="1">
        <f t="array" ref="AK436">INDEX('Talnagögn | Numerical Data'!$1:$1048576, _xlfn.XMATCH($A436,'Talnagögn | Numerical Data'!$B:$B), _xlfn.XMATCH($A$1,'Talnagögn | Numerical Data'!$1:$1))/INDEX('Talnagögn | Numerical Data'!$1:$1048576, _xlfn.XMATCH($A436,'Talnagögn | Numerical Data'!$B:$B), _xlfn.XMATCH($B$3,'Talnagögn | Numerical Data'!$1:$1))-1</f>
        <v>-1.6171600862180391E-2</v>
      </c>
      <c r="AL436" s="853" cm="1">
        <f t="array" ref="AL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Data'!$B:$B),_xlfn.XMATCH($B$2,'Talnagögn | Numerical Data'!$1:$1))</f>
        <v>28.913781312879564</v>
      </c>
      <c r="AM436" s="860" cm="1">
        <f t="array" ref="AM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Data'!$B:$B),_xlfn.XMATCH($B$2,'Talnagögn | Numerical Data'!$1:$1))-1</f>
        <v>0.20555179198903661</v>
      </c>
      <c r="AN436" s="854" cm="1">
        <f t="array" ref="AN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Data'!$B:$B),_xlfn.XMATCH($B$1,'Talnagögn | Numerical Data'!$1:$1))</f>
        <v>3.9168739693973578</v>
      </c>
      <c r="AO436" s="848" cm="1">
        <f t="array" ref="AO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Data'!$B:$B),_xlfn.XMATCH($B$1,'Talnagögn | Numerical Data'!$1:$1))-1</f>
        <v>2.3643893818531048E-2</v>
      </c>
      <c r="AQ436" s="880" t="str">
        <f>'Talnagögn | Numerical Data'!$E$139</f>
        <v>Cattle</v>
      </c>
      <c r="AR436" s="853" cm="1">
        <f t="array" ref="AR436">INDEX('Talnagögn | Numerical Data'!$1:$1048576,_xlfn.XMATCH($B436,'Talnagögn | Numerical Data'!$B:$B),_xlfn.XMATCH($B$4,'Talnagögn | Numerical Data'!$1:$1))-INDEX('Talnagögn | Numerical Data'!$1:$1048576,_xlfn.XMATCH($A436,'Talnagögn | Numerical Data'!$B:$B),_xlfn.XMATCH($B$2,'Talnagögn | Numerical Data'!$1:$1))</f>
        <v>28.607687637593273</v>
      </c>
      <c r="AS436" s="860" cm="1">
        <f t="array" ref="AS436">INDEX('Talnagögn | Numerical Data'!$1:$1048576,_xlfn.XMATCH($B436,'Talnagögn | Numerical Data'!$B:$B),_xlfn.XMATCH($B$4,'Talnagögn | Numerical Data'!$1:$1))/INDEX('Talnagögn | Numerical Data'!$1:$1048576,_xlfn.XMATCH($A436,'Talnagögn | Numerical Data'!$B:$B),_xlfn.XMATCH($B$2,'Talnagögn | Numerical Data'!$1:$1))-1</f>
        <v>0.20337573266318199</v>
      </c>
      <c r="AT436" s="1059" cm="1">
        <f t="array" ref="AT436">INDEX('Talnagögn | Numerical Data'!$1:$1048576,_xlfn.XMATCH($B436,'Talnagögn | Numerical Data'!$B:$B),_xlfn.XMATCH($B$5,'Talnagögn | Numerical Data'!$1:$1))-INDEX('Talnagögn | Numerical Data'!$1:$1048576,_xlfn.XMATCH($A436,'Talnagögn | Numerical Data'!$B:$B),_xlfn.XMATCH($B$1,'Talnagögn | Numerical Data'!$1:$1))</f>
        <v>-0.68423458454117281</v>
      </c>
      <c r="AU436" s="863" cm="1">
        <f t="array" ref="AU436">INDEX('Talnagögn | Numerical Data'!$1:$1048576,_xlfn.XMATCH($B436,'Talnagögn | Numerical Data'!$B:$B),_xlfn.XMATCH($B$5,'Talnagögn | Numerical Data'!$1:$1))/INDEX('Talnagögn | Numerical Data'!$1:$1048576,_xlfn.XMATCH($A436,'Talnagögn | Numerical Data'!$B:$B),_xlfn.XMATCH($B$1,'Talnagögn | Numerical Data'!$1:$1))-1</f>
        <v>-4.1303268857403319E-3</v>
      </c>
      <c r="AV436" s="853" t="e" cm="1">
        <f t="array" ref="AV436">INDEX('Talnagögn | Numerical Data'!$1:$1048576,_xlfn.XMATCH($C436,'Talnagögn | Numerical Data'!$B:$B),_xlfn.XMATCH($B$4,'Talnagögn | Numerical Data'!$1:$1))-INDEX('Talnagögn | Numerical Data'!$1:$1048576,_xlfn.XMATCH($A436,'Talnagögn | Numerical Data'!$B:$B),_xlfn.XMATCH($B$2,'Talnagögn | Numerical Data'!$1:$1))</f>
        <v>#N/A</v>
      </c>
      <c r="AW436" s="848" t="e" cm="1">
        <f t="array" ref="AW436">INDEX('Talnagögn | Numerical Data'!$1:$1048576,_xlfn.XMATCH($C436,'Talnagögn | Numerical Data'!$B:$B),_xlfn.XMATCH($B$4,'Talnagögn | Numerical Data'!$1:$1))/INDEX('Talnagögn | Numerical Data'!$1:$1048576,_xlfn.XMATCH($A436,'Talnagögn | Numerical Data'!$B:$B),_xlfn.XMATCH($B$2,'Talnagögn | Numerical Data'!$1:$1))-1</f>
        <v>#N/A</v>
      </c>
    </row>
    <row r="437" spans="1:55" s="40" customFormat="1" ht="21" customHeight="1" thickBot="1" x14ac:dyDescent="0.45">
      <c r="A437" s="50" t="s">
        <v>105</v>
      </c>
      <c r="B437" s="50" t="s">
        <v>316</v>
      </c>
      <c r="C437" s="50" t="s">
        <v>322</v>
      </c>
      <c r="D437" s="245" t="s">
        <v>48</v>
      </c>
      <c r="E437" s="880" t="str">
        <f>'Talnagögn | Numerical Data'!$D$143</f>
        <v>Sauðfé</v>
      </c>
      <c r="F437" s="852" cm="1">
        <f t="array" ref="F437">INDEX('Talnagögn | Numerical Data'!$1:$1048576,_xlfn.XMATCH($A437,'Talnagögn | Numerical Data'!$B:$B),_xlfn.XMATCH($A$1,'Talnagögn | Numerical Data'!$1:$1))</f>
        <v>125.94372494955719</v>
      </c>
      <c r="G437" s="862">
        <f>$F$437/$F$441</f>
        <v>0.18808824049054257</v>
      </c>
      <c r="H437" s="854" cm="1">
        <f t="array" ref="H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Data'!$B:$B),_xlfn.XMATCH($B$3,'Talnagögn | Numerical Data'!$1:$1))</f>
        <v>-6.5255485007577505</v>
      </c>
      <c r="I437" s="862" cm="1">
        <f t="array" ref="I437">INDEX('Talnagögn | Numerical Data'!$1:$1048576, _xlfn.XMATCH($A437,'Talnagögn | Numerical Data'!$B:$B), _xlfn.XMATCH($A$1,'Talnagögn | Numerical Data'!$1:$1))/INDEX('Talnagögn | Numerical Data'!$1:$1048576, _xlfn.XMATCH($A437,'Talnagögn | Numerical Data'!$B:$B), _xlfn.XMATCH($B$3,'Talnagögn | Numerical Data'!$1:$1))-1</f>
        <v>-4.9260846162980432E-2</v>
      </c>
      <c r="J437" s="853" cm="1">
        <f t="array" ref="J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Data'!$B:$B),_xlfn.XMATCH($B$2,'Talnagögn | Numerical Data'!$1:$1))</f>
        <v>-42.229419466525385</v>
      </c>
      <c r="K437" s="860" cm="1">
        <f t="array" ref="K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Data'!$B:$B),_xlfn.XMATCH($B$2,'Talnagögn | Numerical Data'!$1:$1))-1</f>
        <v>-0.25110679599380159</v>
      </c>
      <c r="L437" s="853" cm="1">
        <f t="array" ref="L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Data'!$B:$B),_xlfn.XMATCH($B$1,'Talnagögn | Numerical Data'!$1:$1))</f>
        <v>-82.993319430836024</v>
      </c>
      <c r="M437" s="847" cm="1">
        <f t="array" ref="M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Data'!$B:$B),_xlfn.XMATCH($B$1,'Talnagögn | Numerical Data'!$1:$1))-1</f>
        <v>-0.3972168730392176</v>
      </c>
      <c r="O437" s="880" t="str">
        <f>'Talnagögn | Numerical Data'!$D$143</f>
        <v>Sauðfé</v>
      </c>
      <c r="P437" s="853" cm="1">
        <f t="array" ref="P437">INDEX('Talnagögn | Numerical Data'!$1:$1048576,_xlfn.XMATCH($B437,'Talnagögn | Numerical Data'!$B:$B),_xlfn.XMATCH($B$4,'Talnagögn | Numerical Data'!$1:$1))-INDEX('Talnagögn | Numerical Data'!$1:$1048576,_xlfn.XMATCH($A437,'Talnagögn | Numerical Data'!$B:$B),_xlfn.XMATCH($B$2,'Talnagögn | Numerical Data'!$1:$1))</f>
        <v>-48.869865517107641</v>
      </c>
      <c r="Q437" s="860" cm="1">
        <f t="array" ref="Q437">INDEX('Talnagögn | Numerical Data'!$1:$1048576,_xlfn.XMATCH($B437,'Talnagögn | Numerical Data'!$B:$B),_xlfn.XMATCH($B$4,'Talnagögn | Numerical Data'!$1:$1))/INDEX('Talnagögn | Numerical Data'!$1:$1048576,_xlfn.XMATCH($A437,'Talnagögn | Numerical Data'!$B:$B),_xlfn.XMATCH($B$2,'Talnagögn | Numerical Data'!$1:$1))-1</f>
        <v>-0.29059256569644165</v>
      </c>
      <c r="R437" s="852" cm="1">
        <f t="array" ref="R437">INDEX('Talnagögn | Numerical Data'!$1:$1048576,_xlfn.XMATCH($B437,'Talnagögn | Numerical Data'!$B:$B),_xlfn.XMATCH($B$5,'Talnagögn | Numerical Data'!$1:$1))-INDEX('Talnagögn | Numerical Data'!$1:$1048576,_xlfn.XMATCH($A437,'Talnagögn | Numerical Data'!$B:$B),_xlfn.XMATCH($B$1,'Talnagögn | Numerical Data'!$1:$1))</f>
        <v>-122.27692123071465</v>
      </c>
      <c r="S437" s="847" cm="1">
        <f t="array" ref="S437">INDEX('Talnagögn | Numerical Data'!$1:$1048576,_xlfn.XMATCH($B437,'Talnagögn | Numerical Data'!$B:$B),_xlfn.XMATCH($B$5,'Talnagögn | Numerical Data'!$1:$1))/INDEX('Talnagögn | Numerical Data'!$1:$1048576,_xlfn.XMATCH($A437,'Talnagögn | Numerical Data'!$B:$B),_xlfn.XMATCH($B$1,'Talnagögn | Numerical Data'!$1:$1))-1</f>
        <v>-0.58523332515461379</v>
      </c>
      <c r="AD437" s="760"/>
      <c r="AG437" s="880" t="str">
        <f>'Talnagögn | Numerical Data'!$E$143</f>
        <v>Sheep</v>
      </c>
      <c r="AH437" s="852" cm="1">
        <f t="array" ref="AH437">INDEX('Talnagögn | Numerical Data'!$1:$1048576,_xlfn.XMATCH($A437,'Talnagögn | Numerical Data'!$B:$B),_xlfn.XMATCH($A$1,'Talnagögn | Numerical Data'!$1:$1))</f>
        <v>125.94372494955719</v>
      </c>
      <c r="AI437" s="862">
        <f>$F$437/$F$441</f>
        <v>0.18808824049054257</v>
      </c>
      <c r="AJ437" s="854" cm="1">
        <f t="array" ref="AJ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Data'!$B:$B),_xlfn.XMATCH($B$3,'Talnagögn | Numerical Data'!$1:$1))</f>
        <v>-6.5255485007577505</v>
      </c>
      <c r="AK437" s="862" cm="1">
        <f t="array" ref="AK437">INDEX('Talnagögn | Numerical Data'!$1:$1048576, _xlfn.XMATCH($A437,'Talnagögn | Numerical Data'!$B:$B), _xlfn.XMATCH($A$1,'Talnagögn | Numerical Data'!$1:$1))/INDEX('Talnagögn | Numerical Data'!$1:$1048576, _xlfn.XMATCH($A437,'Talnagögn | Numerical Data'!$B:$B), _xlfn.XMATCH($B$3,'Talnagögn | Numerical Data'!$1:$1))-1</f>
        <v>-4.9260846162980432E-2</v>
      </c>
      <c r="AL437" s="853" cm="1">
        <f t="array" ref="AL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Data'!$B:$B),_xlfn.XMATCH($B$2,'Talnagögn | Numerical Data'!$1:$1))</f>
        <v>-42.229419466525385</v>
      </c>
      <c r="AM437" s="860" cm="1">
        <f t="array" ref="AM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Data'!$B:$B),_xlfn.XMATCH($B$2,'Talnagögn | Numerical Data'!$1:$1))-1</f>
        <v>-0.25110679599380159</v>
      </c>
      <c r="AN437" s="853" cm="1">
        <f t="array" ref="AN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Data'!$B:$B),_xlfn.XMATCH($B$1,'Talnagögn | Numerical Data'!$1:$1))</f>
        <v>-82.993319430836024</v>
      </c>
      <c r="AO437" s="847" cm="1">
        <f t="array" ref="AO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Data'!$B:$B),_xlfn.XMATCH($B$1,'Talnagögn | Numerical Data'!$1:$1))-1</f>
        <v>-0.3972168730392176</v>
      </c>
      <c r="AQ437" s="880" t="str">
        <f>'Talnagögn | Numerical Data'!$E$143</f>
        <v>Sheep</v>
      </c>
      <c r="AR437" s="853" cm="1">
        <f t="array" ref="AR437">INDEX('Talnagögn | Numerical Data'!$1:$1048576,_xlfn.XMATCH($B437,'Talnagögn | Numerical Data'!$B:$B),_xlfn.XMATCH($B$4,'Talnagögn | Numerical Data'!$1:$1))-INDEX('Talnagögn | Numerical Data'!$1:$1048576,_xlfn.XMATCH($A437,'Talnagögn | Numerical Data'!$B:$B),_xlfn.XMATCH($B$2,'Talnagögn | Numerical Data'!$1:$1))</f>
        <v>-48.869865517107641</v>
      </c>
      <c r="AS437" s="860" cm="1">
        <f t="array" ref="AS437">INDEX('Talnagögn | Numerical Data'!$1:$1048576,_xlfn.XMATCH($B437,'Talnagögn | Numerical Data'!$B:$B),_xlfn.XMATCH($B$4,'Talnagögn | Numerical Data'!$1:$1))/INDEX('Talnagögn | Numerical Data'!$1:$1048576,_xlfn.XMATCH($A437,'Talnagögn | Numerical Data'!$B:$B),_xlfn.XMATCH($B$2,'Talnagögn | Numerical Data'!$1:$1))-1</f>
        <v>-0.29059256569644165</v>
      </c>
      <c r="AT437" s="852" cm="1">
        <f t="array" ref="AT437">INDEX('Talnagögn | Numerical Data'!$1:$1048576,_xlfn.XMATCH($B437,'Talnagögn | Numerical Data'!$B:$B),_xlfn.XMATCH($B$5,'Talnagögn | Numerical Data'!$1:$1))-INDEX('Talnagögn | Numerical Data'!$1:$1048576,_xlfn.XMATCH($A437,'Talnagögn | Numerical Data'!$B:$B),_xlfn.XMATCH($B$1,'Talnagögn | Numerical Data'!$1:$1))</f>
        <v>-122.27692123071465</v>
      </c>
      <c r="AU437" s="860" cm="1">
        <f t="array" ref="AU437">INDEX('Talnagögn | Numerical Data'!$1:$1048576,_xlfn.XMATCH($B437,'Talnagögn | Numerical Data'!$B:$B),_xlfn.XMATCH($B$5,'Talnagögn | Numerical Data'!$1:$1))/INDEX('Talnagögn | Numerical Data'!$1:$1048576,_xlfn.XMATCH($A437,'Talnagögn | Numerical Data'!$B:$B),_xlfn.XMATCH($B$1,'Talnagögn | Numerical Data'!$1:$1))-1</f>
        <v>-0.58523332515461379</v>
      </c>
      <c r="AV437" s="853" t="e" cm="1">
        <f t="array" ref="AV437">INDEX('Talnagögn | Numerical Data'!$1:$1048576,_xlfn.XMATCH($C437,'Talnagögn | Numerical Data'!$B:$B),_xlfn.XMATCH($B$4,'Talnagögn | Numerical Data'!$1:$1))-INDEX('Talnagögn | Numerical Data'!$1:$1048576,_xlfn.XMATCH($A437,'Talnagögn | Numerical Data'!$B:$B),_xlfn.XMATCH($B$2,'Talnagögn | Numerical Data'!$1:$1))</f>
        <v>#N/A</v>
      </c>
      <c r="AW437" s="847" t="e" cm="1">
        <f t="array" ref="AW437">INDEX('Talnagögn | Numerical Data'!$1:$1048576,_xlfn.XMATCH($C437,'Talnagögn | Numerical Data'!$B:$B),_xlfn.XMATCH($B$4,'Talnagögn | Numerical Data'!$1:$1))/INDEX('Talnagögn | Numerical Data'!$1:$1048576,_xlfn.XMATCH($A437,'Talnagögn | Numerical Data'!$B:$B),_xlfn.XMATCH($B$2,'Talnagögn | Numerical Data'!$1:$1))-1</f>
        <v>#N/A</v>
      </c>
    </row>
    <row r="438" spans="1:55" s="40" customFormat="1" ht="21" customHeight="1" thickTop="1" x14ac:dyDescent="0.4">
      <c r="A438" s="50" t="s">
        <v>103</v>
      </c>
      <c r="B438" s="50" t="s">
        <v>314</v>
      </c>
      <c r="C438" s="50" t="s">
        <v>320</v>
      </c>
      <c r="D438" s="245" t="s">
        <v>48</v>
      </c>
      <c r="E438" s="879" t="str">
        <f>'Talnagögn | Numerical Data'!$D$132</f>
        <v>Áburðarnotkun í landbúnaði</v>
      </c>
      <c r="F438" s="852" cm="1">
        <f t="array" ref="F438">INDEX('Talnagögn | Numerical Data'!$1:$1048576,_xlfn.XMATCH($A438,'Talnagögn | Numerical Data'!$B:$B),_xlfn.XMATCH($A$1,'Talnagögn | Numerical Data'!$1:$1))</f>
        <v>130.29124808623394</v>
      </c>
      <c r="G438" s="859">
        <f>$F$438/$F$441</f>
        <v>0.19458096553577181</v>
      </c>
      <c r="H438" s="854" cm="1">
        <f t="array" ref="H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Data'!$B:$B),_xlfn.XMATCH($B$3,'Talnagögn | Numerical Data'!$1:$1))</f>
        <v>4.8869394759525733</v>
      </c>
      <c r="I438" s="861" cm="1">
        <f t="array" ref="I438">INDEX('Talnagögn | Numerical Data'!$1:$1048576, _xlfn.XMATCH($A438,'Talnagögn | Numerical Data'!$B:$B), _xlfn.XMATCH($A$1,'Talnagögn | Numerical Data'!$1:$1))/INDEX('Talnagögn | Numerical Data'!$1:$1048576, _xlfn.XMATCH($A438,'Talnagögn | Numerical Data'!$B:$B), _xlfn.XMATCH($B$3,'Talnagögn | Numerical Data'!$1:$1))-1</f>
        <v>3.8969470268678696E-2</v>
      </c>
      <c r="J438" s="854" cm="1">
        <f t="array" ref="J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Data'!$B:$B),_xlfn.XMATCH($B$2,'Talnagögn | Numerical Data'!$1:$1))</f>
        <v>1.6933230021424492</v>
      </c>
      <c r="K438" s="861" cm="1">
        <f t="array" ref="K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Data'!$B:$B),_xlfn.XMATCH($B$2,'Talnagögn | Numerical Data'!$1:$1))-1</f>
        <v>1.3167576390016977E-2</v>
      </c>
      <c r="L438" s="853" cm="1">
        <f t="array" ref="L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Data'!$B:$B),_xlfn.XMATCH($B$1,'Talnagögn | Numerical Data'!$1:$1))</f>
        <v>-14.495632078157143</v>
      </c>
      <c r="M438" s="847" cm="1">
        <f t="array" ref="M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Data'!$B:$B),_xlfn.XMATCH($B$1,'Talnagögn | Numerical Data'!$1:$1))-1</f>
        <v>-0.10011702760428842</v>
      </c>
      <c r="O438" s="879" t="str">
        <f>'Talnagögn | Numerical Data'!$D$132</f>
        <v>Áburðarnotkun í landbúnaði</v>
      </c>
      <c r="P438" s="854" cm="1">
        <f t="array" ref="P438">INDEX('Talnagögn | Numerical Data'!$1:$1048576,_xlfn.XMATCH($B438,'Talnagögn | Numerical Data'!$B:$B),_xlfn.XMATCH($B$4,'Talnagögn | Numerical Data'!$1:$1))-INDEX('Talnagögn | Numerical Data'!$1:$1048576,_xlfn.XMATCH($A438,'Talnagögn | Numerical Data'!$B:$B),_xlfn.XMATCH($B$2,'Talnagögn | Numerical Data'!$1:$1))</f>
        <v>3.6596088964599289</v>
      </c>
      <c r="Q438" s="861" cm="1">
        <f t="array" ref="Q438">INDEX('Talnagögn | Numerical Data'!$1:$1048576,_xlfn.XMATCH($B438,'Talnagögn | Numerical Data'!$B:$B),_xlfn.XMATCH($B$4,'Talnagögn | Numerical Data'!$1:$1))/INDEX('Talnagögn | Numerical Data'!$1:$1048576,_xlfn.XMATCH($A438,'Talnagögn | Numerical Data'!$B:$B),_xlfn.XMATCH($B$2,'Talnagögn | Numerical Data'!$1:$1))-1</f>
        <v>2.8457760061578519E-2</v>
      </c>
      <c r="R438" s="853" cm="1">
        <f t="array" ref="R438">INDEX('Talnagögn | Numerical Data'!$1:$1048576,_xlfn.XMATCH($B438,'Talnagögn | Numerical Data'!$B:$B),_xlfn.XMATCH($B$5,'Talnagögn | Numerical Data'!$1:$1))-INDEX('Talnagögn | Numerical Data'!$1:$1048576,_xlfn.XMATCH($A438,'Talnagögn | Numerical Data'!$B:$B),_xlfn.XMATCH($B$1,'Talnagögn | Numerical Data'!$1:$1))</f>
        <v>-19.105869404415216</v>
      </c>
      <c r="S438" s="1084" cm="1">
        <f t="array" ref="S438">INDEX('Talnagögn | Numerical Data'!$1:$1048576,_xlfn.XMATCH($B438,'Talnagögn | Numerical Data'!$B:$B),_xlfn.XMATCH($B$5,'Talnagögn | Numerical Data'!$1:$1))/INDEX('Talnagögn | Numerical Data'!$1:$1048576,_xlfn.XMATCH($A438,'Talnagögn | Numerical Data'!$B:$B),_xlfn.XMATCH($B$1,'Talnagögn | Numerical Data'!$1:$1))-1</f>
        <v>-0.13195856822608787</v>
      </c>
      <c r="AD438" s="760"/>
      <c r="AG438" s="879" t="str">
        <f>'Talnagögn | Numerical Data'!$E$132</f>
        <v>Fertilizer Use in Agriculture</v>
      </c>
      <c r="AH438" s="852" cm="1">
        <f t="array" ref="AH438">INDEX('Talnagögn | Numerical Data'!$1:$1048576,_xlfn.XMATCH($A438,'Talnagögn | Numerical Data'!$B:$B),_xlfn.XMATCH($A$1,'Talnagögn | Numerical Data'!$1:$1))</f>
        <v>130.29124808623394</v>
      </c>
      <c r="AI438" s="859">
        <f>$F$438/$F$441</f>
        <v>0.19458096553577181</v>
      </c>
      <c r="AJ438" s="854" cm="1">
        <f t="array" ref="AJ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Data'!$B:$B),_xlfn.XMATCH($B$3,'Talnagögn | Numerical Data'!$1:$1))</f>
        <v>4.8869394759525733</v>
      </c>
      <c r="AK438" s="861" cm="1">
        <f t="array" ref="AK438">INDEX('Talnagögn | Numerical Data'!$1:$1048576, _xlfn.XMATCH($A438,'Talnagögn | Numerical Data'!$B:$B), _xlfn.XMATCH($A$1,'Talnagögn | Numerical Data'!$1:$1))/INDEX('Talnagögn | Numerical Data'!$1:$1048576, _xlfn.XMATCH($A438,'Talnagögn | Numerical Data'!$B:$B), _xlfn.XMATCH($B$3,'Talnagögn | Numerical Data'!$1:$1))-1</f>
        <v>3.8969470268678696E-2</v>
      </c>
      <c r="AL438" s="854" cm="1">
        <f t="array" ref="AL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Data'!$B:$B),_xlfn.XMATCH($B$2,'Talnagögn | Numerical Data'!$1:$1))</f>
        <v>1.6933230021424492</v>
      </c>
      <c r="AM438" s="861" cm="1">
        <f t="array" ref="AM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Data'!$B:$B),_xlfn.XMATCH($B$2,'Talnagögn | Numerical Data'!$1:$1))-1</f>
        <v>1.3167576390016977E-2</v>
      </c>
      <c r="AN438" s="853" cm="1">
        <f t="array" ref="AN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Data'!$B:$B),_xlfn.XMATCH($B$1,'Talnagögn | Numerical Data'!$1:$1))</f>
        <v>-14.495632078157143</v>
      </c>
      <c r="AO438" s="847" cm="1">
        <f t="array" ref="AO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Data'!$B:$B),_xlfn.XMATCH($B$1,'Talnagögn | Numerical Data'!$1:$1))-1</f>
        <v>-0.10011702760428842</v>
      </c>
      <c r="AQ438" s="879" t="str">
        <f>'Talnagögn | Numerical Data'!$E$132</f>
        <v>Fertilizer Use in Agriculture</v>
      </c>
      <c r="AR438" s="854" cm="1">
        <f t="array" ref="AR438">INDEX('Talnagögn | Numerical Data'!$1:$1048576,_xlfn.XMATCH($B438,'Talnagögn | Numerical Data'!$B:$B),_xlfn.XMATCH($B$4,'Talnagögn | Numerical Data'!$1:$1))-INDEX('Talnagögn | Numerical Data'!$1:$1048576,_xlfn.XMATCH($A438,'Talnagögn | Numerical Data'!$B:$B),_xlfn.XMATCH($B$2,'Talnagögn | Numerical Data'!$1:$1))</f>
        <v>3.6596088964599289</v>
      </c>
      <c r="AS438" s="861" cm="1">
        <f t="array" ref="AS438">INDEX('Talnagögn | Numerical Data'!$1:$1048576,_xlfn.XMATCH($B438,'Talnagögn | Numerical Data'!$B:$B),_xlfn.XMATCH($B$4,'Talnagögn | Numerical Data'!$1:$1))/INDEX('Talnagögn | Numerical Data'!$1:$1048576,_xlfn.XMATCH($A438,'Talnagögn | Numerical Data'!$B:$B),_xlfn.XMATCH($B$2,'Talnagögn | Numerical Data'!$1:$1))-1</f>
        <v>2.8457760061578519E-2</v>
      </c>
      <c r="AT438" s="853" cm="1">
        <f t="array" ref="AT438">INDEX('Talnagögn | Numerical Data'!$1:$1048576,_xlfn.XMATCH($B438,'Talnagögn | Numerical Data'!$B:$B),_xlfn.XMATCH($B$5,'Talnagögn | Numerical Data'!$1:$1))-INDEX('Talnagögn | Numerical Data'!$1:$1048576,_xlfn.XMATCH($A438,'Talnagögn | Numerical Data'!$B:$B),_xlfn.XMATCH($B$1,'Talnagögn | Numerical Data'!$1:$1))</f>
        <v>-19.105869404415216</v>
      </c>
      <c r="AU438" s="859" cm="1">
        <f t="array" ref="AU438">INDEX('Talnagögn | Numerical Data'!$1:$1048576,_xlfn.XMATCH($B438,'Talnagögn | Numerical Data'!$B:$B),_xlfn.XMATCH($B$5,'Talnagögn | Numerical Data'!$1:$1))/INDEX('Talnagögn | Numerical Data'!$1:$1048576,_xlfn.XMATCH($A438,'Talnagögn | Numerical Data'!$B:$B),_xlfn.XMATCH($B$1,'Talnagögn | Numerical Data'!$1:$1))-1</f>
        <v>-0.13195856822608787</v>
      </c>
      <c r="AV438" s="853" t="e" cm="1">
        <f t="array" ref="AV438">INDEX('Talnagögn | Numerical Data'!$1:$1048576,_xlfn.XMATCH($C438,'Talnagögn | Numerical Data'!$B:$B),_xlfn.XMATCH($B$4,'Talnagögn | Numerical Data'!$1:$1))-INDEX('Talnagögn | Numerical Data'!$1:$1048576,_xlfn.XMATCH($A438,'Talnagögn | Numerical Data'!$B:$B),_xlfn.XMATCH($B$2,'Talnagögn | Numerical Data'!$1:$1))</f>
        <v>#N/A</v>
      </c>
      <c r="AW438" s="1084" t="e" cm="1">
        <f t="array" ref="AW438">INDEX('Talnagögn | Numerical Data'!$1:$1048576,_xlfn.XMATCH($C438,'Talnagögn | Numerical Data'!$B:$B),_xlfn.XMATCH($B$4,'Talnagögn | Numerical Data'!$1:$1))/INDEX('Talnagögn | Numerical Data'!$1:$1048576,_xlfn.XMATCH($A438,'Talnagögn | Numerical Data'!$B:$B),_xlfn.XMATCH($B$2,'Talnagögn | Numerical Data'!$1:$1))-1</f>
        <v>#N/A</v>
      </c>
    </row>
    <row r="439" spans="1:55" s="40" customFormat="1" ht="21" customHeight="1" x14ac:dyDescent="0.4">
      <c r="A439" s="50" t="s">
        <v>106</v>
      </c>
      <c r="B439" s="50" t="s">
        <v>317</v>
      </c>
      <c r="C439" s="50" t="s">
        <v>323</v>
      </c>
      <c r="D439" s="245" t="s">
        <v>48</v>
      </c>
      <c r="E439" s="880" t="str">
        <f>'Talnagögn | Numerical Data'!$D$147</f>
        <v>Hestar</v>
      </c>
      <c r="F439" s="852" cm="1">
        <f t="array" ref="F439">INDEX('Talnagögn | Numerical Data'!$1:$1048576,_xlfn.XMATCH($A439,'Talnagögn | Numerical Data'!$B:$B),_xlfn.XMATCH($A$1,'Talnagögn | Numerical Data'!$1:$1))</f>
        <v>24.817131861593037</v>
      </c>
      <c r="G439" s="862">
        <f>$F$439/$F$441</f>
        <v>3.706266959896861E-2</v>
      </c>
      <c r="H439" s="878" cm="1">
        <f t="array" ref="H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Data'!$B:$B),_xlfn.XMATCH($B$3,'Talnagögn | Numerical Data'!$1:$1))</f>
        <v>-1.9762910713987196</v>
      </c>
      <c r="I439" s="862" cm="1">
        <f t="array" ref="I439">INDEX('Talnagögn | Numerical Data'!$1:$1048576, _xlfn.XMATCH($A439,'Talnagögn | Numerical Data'!$B:$B), _xlfn.XMATCH($A$1,'Talnagögn | Numerical Data'!$1:$1))/INDEX('Talnagögn | Numerical Data'!$1:$1048576, _xlfn.XMATCH($A439,'Talnagögn | Numerical Data'!$B:$B), _xlfn.XMATCH($B$3,'Talnagögn | Numerical Data'!$1:$1))-1</f>
        <v>-7.3760305890787747E-2</v>
      </c>
      <c r="J439" s="854" cm="1">
        <f t="array" ref="J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Data'!$B:$B),_xlfn.XMATCH($B$2,'Talnagögn | Numerical Data'!$1:$1))</f>
        <v>-5.2027650669351928</v>
      </c>
      <c r="K439" s="860" cm="1">
        <f t="array" ref="K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Data'!$B:$B),_xlfn.XMATCH($B$2,'Talnagögn | Numerical Data'!$1:$1))-1</f>
        <v>-0.17331055730544331</v>
      </c>
      <c r="L439" s="854" cm="1">
        <f t="array" ref="L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Data'!$B:$B),_xlfn.XMATCH($B$1,'Talnagögn | Numerical Data'!$1:$1))</f>
        <v>-4.0397271041031821</v>
      </c>
      <c r="M439" s="848" cm="1">
        <f t="array" ref="M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Data'!$B:$B),_xlfn.XMATCH($B$1,'Talnagögn | Numerical Data'!$1:$1))-1</f>
        <v>-0.13999192042714814</v>
      </c>
      <c r="O439" s="880" t="str">
        <f>'Talnagögn | Numerical Data'!$D$147</f>
        <v>Hestar</v>
      </c>
      <c r="P439" s="854" cm="1">
        <f t="array" ref="P439">INDEX('Talnagögn | Numerical Data'!$1:$1048576,_xlfn.XMATCH($B439,'Talnagögn | Numerical Data'!$B:$B),_xlfn.XMATCH($B$4,'Talnagögn | Numerical Data'!$1:$1))-INDEX('Talnagögn | Numerical Data'!$1:$1048576,_xlfn.XMATCH($A439,'Talnagögn | Numerical Data'!$B:$B),_xlfn.XMATCH($B$2,'Talnagögn | Numerical Data'!$1:$1))</f>
        <v>-5.7552036263219506</v>
      </c>
      <c r="Q439" s="860" cm="1">
        <f t="array" ref="Q439">INDEX('Talnagögn | Numerical Data'!$1:$1048576,_xlfn.XMATCH($B439,'Talnagögn | Numerical Data'!$B:$B),_xlfn.XMATCH($B$4,'Talnagögn | Numerical Data'!$1:$1))/INDEX('Talnagögn | Numerical Data'!$1:$1048576,_xlfn.XMATCH($A439,'Talnagögn | Numerical Data'!$B:$B),_xlfn.XMATCH($B$2,'Talnagögn | Numerical Data'!$1:$1))-1</f>
        <v>-0.19171297090139972</v>
      </c>
      <c r="R439" s="886" cm="1">
        <f t="array" ref="R439">INDEX('Talnagögn | Numerical Data'!$1:$1048576,_xlfn.XMATCH($B439,'Talnagögn | Numerical Data'!$B:$B),_xlfn.XMATCH($B$5,'Talnagögn | Numerical Data'!$1:$1))-INDEX('Talnagögn | Numerical Data'!$1:$1048576,_xlfn.XMATCH($A439,'Talnagögn | Numerical Data'!$B:$B),_xlfn.XMATCH($B$1,'Talnagögn | Numerical Data'!$1:$1))</f>
        <v>-7.0509509268037469</v>
      </c>
      <c r="S439" s="847" cm="1">
        <f t="array" ref="S439">INDEX('Talnagögn | Numerical Data'!$1:$1048576,_xlfn.XMATCH($B439,'Talnagögn | Numerical Data'!$B:$B),_xlfn.XMATCH($B$5,'Talnagögn | Numerical Data'!$1:$1))/INDEX('Talnagögn | Numerical Data'!$1:$1048576,_xlfn.XMATCH($A439,'Talnagögn | Numerical Data'!$B:$B),_xlfn.XMATCH($B$1,'Talnagögn | Numerical Data'!$1:$1))-1</f>
        <v>-0.24434228739814035</v>
      </c>
      <c r="AD439" s="760"/>
      <c r="AG439" s="880" t="str">
        <f>'Talnagögn | Numerical Data'!$E$147</f>
        <v>Horses</v>
      </c>
      <c r="AH439" s="852" cm="1">
        <f t="array" ref="AH439">INDEX('Talnagögn | Numerical Data'!$1:$1048576,_xlfn.XMATCH($A439,'Talnagögn | Numerical Data'!$B:$B),_xlfn.XMATCH($A$1,'Talnagögn | Numerical Data'!$1:$1))</f>
        <v>24.817131861593037</v>
      </c>
      <c r="AI439" s="862">
        <f>$F$439/$F$441</f>
        <v>3.706266959896861E-2</v>
      </c>
      <c r="AJ439" s="878" cm="1">
        <f t="array" ref="AJ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Data'!$B:$B),_xlfn.XMATCH($B$3,'Talnagögn | Numerical Data'!$1:$1))</f>
        <v>-1.9762910713987196</v>
      </c>
      <c r="AK439" s="862" cm="1">
        <f t="array" ref="AK439">INDEX('Talnagögn | Numerical Data'!$1:$1048576, _xlfn.XMATCH($A439,'Talnagögn | Numerical Data'!$B:$B), _xlfn.XMATCH($A$1,'Talnagögn | Numerical Data'!$1:$1))/INDEX('Talnagögn | Numerical Data'!$1:$1048576, _xlfn.XMATCH($A439,'Talnagögn | Numerical Data'!$B:$B), _xlfn.XMATCH($B$3,'Talnagögn | Numerical Data'!$1:$1))-1</f>
        <v>-7.3760305890787747E-2</v>
      </c>
      <c r="AL439" s="854" cm="1">
        <f t="array" ref="AL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Data'!$B:$B),_xlfn.XMATCH($B$2,'Talnagögn | Numerical Data'!$1:$1))</f>
        <v>-5.2027650669351928</v>
      </c>
      <c r="AM439" s="860" cm="1">
        <f t="array" ref="AM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Data'!$B:$B),_xlfn.XMATCH($B$2,'Talnagögn | Numerical Data'!$1:$1))-1</f>
        <v>-0.17331055730544331</v>
      </c>
      <c r="AN439" s="854" cm="1">
        <f t="array" ref="AN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Data'!$B:$B),_xlfn.XMATCH($B$1,'Talnagögn | Numerical Data'!$1:$1))</f>
        <v>-4.0397271041031821</v>
      </c>
      <c r="AO439" s="848" cm="1">
        <f t="array" ref="AO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Data'!$B:$B),_xlfn.XMATCH($B$1,'Talnagögn | Numerical Data'!$1:$1))-1</f>
        <v>-0.13999192042714814</v>
      </c>
      <c r="AQ439" s="880" t="str">
        <f>'Talnagögn | Numerical Data'!$E$147</f>
        <v>Horses</v>
      </c>
      <c r="AR439" s="854" cm="1">
        <f t="array" ref="AR439">INDEX('Talnagögn | Numerical Data'!$1:$1048576,_xlfn.XMATCH($B439,'Talnagögn | Numerical Data'!$B:$B),_xlfn.XMATCH($B$4,'Talnagögn | Numerical Data'!$1:$1))-INDEX('Talnagögn | Numerical Data'!$1:$1048576,_xlfn.XMATCH($A439,'Talnagögn | Numerical Data'!$B:$B),_xlfn.XMATCH($B$2,'Talnagögn | Numerical Data'!$1:$1))</f>
        <v>-5.7552036263219506</v>
      </c>
      <c r="AS439" s="860" cm="1">
        <f t="array" ref="AS439">INDEX('Talnagögn | Numerical Data'!$1:$1048576,_xlfn.XMATCH($B439,'Talnagögn | Numerical Data'!$B:$B),_xlfn.XMATCH($B$4,'Talnagögn | Numerical Data'!$1:$1))/INDEX('Talnagögn | Numerical Data'!$1:$1048576,_xlfn.XMATCH($A439,'Talnagögn | Numerical Data'!$B:$B),_xlfn.XMATCH($B$2,'Talnagögn | Numerical Data'!$1:$1))-1</f>
        <v>-0.19171297090139972</v>
      </c>
      <c r="AT439" s="886" cm="1">
        <f t="array" ref="AT439">INDEX('Talnagögn | Numerical Data'!$1:$1048576,_xlfn.XMATCH($B439,'Talnagögn | Numerical Data'!$B:$B),_xlfn.XMATCH($B$5,'Talnagögn | Numerical Data'!$1:$1))-INDEX('Talnagögn | Numerical Data'!$1:$1048576,_xlfn.XMATCH($A439,'Talnagögn | Numerical Data'!$B:$B),_xlfn.XMATCH($B$1,'Talnagögn | Numerical Data'!$1:$1))</f>
        <v>-7.0509509268037469</v>
      </c>
      <c r="AU439" s="860" cm="1">
        <f t="array" ref="AU439">INDEX('Talnagögn | Numerical Data'!$1:$1048576,_xlfn.XMATCH($B439,'Talnagögn | Numerical Data'!$B:$B),_xlfn.XMATCH($B$5,'Talnagögn | Numerical Data'!$1:$1))/INDEX('Talnagögn | Numerical Data'!$1:$1048576,_xlfn.XMATCH($A439,'Talnagögn | Numerical Data'!$B:$B),_xlfn.XMATCH($B$1,'Talnagögn | Numerical Data'!$1:$1))-1</f>
        <v>-0.24434228739814035</v>
      </c>
      <c r="AV439" s="854" t="e" cm="1">
        <f t="array" ref="AV439">INDEX('Talnagögn | Numerical Data'!$1:$1048576,_xlfn.XMATCH($C439,'Talnagögn | Numerical Data'!$B:$B),_xlfn.XMATCH($B$4,'Talnagögn | Numerical Data'!$1:$1))-INDEX('Talnagögn | Numerical Data'!$1:$1048576,_xlfn.XMATCH($A439,'Talnagögn | Numerical Data'!$B:$B),_xlfn.XMATCH($B$2,'Talnagögn | Numerical Data'!$1:$1))</f>
        <v>#N/A</v>
      </c>
      <c r="AW439" s="847" t="e" cm="1">
        <f t="array" ref="AW439">INDEX('Talnagögn | Numerical Data'!$1:$1048576,_xlfn.XMATCH($C439,'Talnagögn | Numerical Data'!$B:$B),_xlfn.XMATCH($B$4,'Talnagögn | Numerical Data'!$1:$1))/INDEX('Talnagögn | Numerical Data'!$1:$1048576,_xlfn.XMATCH($A439,'Talnagögn | Numerical Data'!$B:$B),_xlfn.XMATCH($B$2,'Talnagögn | Numerical Data'!$1:$1))-1</f>
        <v>#N/A</v>
      </c>
    </row>
    <row r="440" spans="1:55" s="40" customFormat="1" ht="21" customHeight="1" x14ac:dyDescent="0.4">
      <c r="A440" s="50" t="s">
        <v>107</v>
      </c>
      <c r="B440" s="50" t="s">
        <v>319</v>
      </c>
      <c r="C440" s="50" t="s">
        <v>325</v>
      </c>
      <c r="D440" s="245" t="s">
        <v>48</v>
      </c>
      <c r="E440" s="882" t="str">
        <f>'Talnagögn | Numerical Data'!$D$152</f>
        <v>Önnur losun</v>
      </c>
      <c r="F440" s="883" cm="1">
        <f t="array" ref="F440">INDEX('Talnagögn | Numerical Data'!$1:$1048576,_xlfn.XMATCH($A440,'Talnagögn | Numerical Data'!$B:$B),_xlfn.XMATCH($A$1,'Talnagögn | Numerical Data'!$1:$1))</f>
        <v>20.377565843128309</v>
      </c>
      <c r="G440" s="875">
        <f>$F$440/$F$441</f>
        <v>3.0432484877267869E-2</v>
      </c>
      <c r="H440" s="884" cm="1">
        <f t="array" ref="H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Data'!$B:$B),_xlfn.XMATCH($B$3,'Talnagögn | Numerical Data'!$1:$1))</f>
        <v>-0.53692679067080462</v>
      </c>
      <c r="I440" s="875" cm="1">
        <f t="array" ref="I440">INDEX('Talnagögn | Numerical Data'!$1:$1048576, _xlfn.XMATCH($A440,'Talnagögn | Numerical Data'!$B:$B), _xlfn.XMATCH($A$1,'Talnagögn | Numerical Data'!$1:$1))/INDEX('Talnagögn | Numerical Data'!$1:$1048576, _xlfn.XMATCH($A440,'Talnagögn | Numerical Data'!$B:$B), _xlfn.XMATCH($B$3,'Talnagögn | Numerical Data'!$1:$1))-1</f>
        <v>-2.5672475066552569E-2</v>
      </c>
      <c r="J440" s="874" cm="1">
        <f t="array" ref="J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Data'!$B:$B),_xlfn.XMATCH($B$2,'Talnagögn | Numerical Data'!$1:$1))</f>
        <v>-2.7334037945719274</v>
      </c>
      <c r="K440" s="876" cm="1">
        <f t="array" ref="K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Data'!$B:$B),_xlfn.XMATCH($B$2,'Talnagögn | Numerical Data'!$1:$1))-1</f>
        <v>-0.11827300357458859</v>
      </c>
      <c r="L440" s="874" cm="1">
        <f t="array" ref="L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Data'!$B:$B),_xlfn.XMATCH($B$1,'Talnagögn | Numerical Data'!$1:$1))</f>
        <v>-3.0693051981850203</v>
      </c>
      <c r="M440" s="877" cm="1">
        <f t="array" ref="M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Data'!$B:$B),_xlfn.XMATCH($B$1,'Talnagögn | Numerical Data'!$1:$1))-1</f>
        <v>-0.13090468202673666</v>
      </c>
      <c r="O440" s="882" t="str">
        <f>'Talnagögn | Numerical Data'!$D$152</f>
        <v>Önnur losun</v>
      </c>
      <c r="P440" s="874" cm="1">
        <f t="array" ref="P440">INDEX('Talnagögn | Numerical Data'!$1:$1048576,_xlfn.XMATCH($B440,'Talnagögn | Numerical Data'!$B:$B),_xlfn.XMATCH($B$4,'Talnagögn | Numerical Data'!$1:$1))-INDEX('Talnagögn | Numerical Data'!$1:$1048576,_xlfn.XMATCH($A440,'Talnagögn | Numerical Data'!$B:$B),_xlfn.XMATCH($B$2,'Talnagögn | Numerical Data'!$1:$1))</f>
        <v>-2.6615582222589182</v>
      </c>
      <c r="Q440" s="876" cm="1">
        <f t="array" ref="Q440">INDEX('Talnagögn | Numerical Data'!$1:$1048576,_xlfn.XMATCH($B440,'Talnagögn | Numerical Data'!$B:$B),_xlfn.XMATCH($B$4,'Talnagögn | Numerical Data'!$1:$1))/INDEX('Talnagögn | Numerical Data'!$1:$1048576,_xlfn.XMATCH($A440,'Talnagögn | Numerical Data'!$B:$B),_xlfn.XMATCH($B$2,'Talnagögn | Numerical Data'!$1:$1))-1</f>
        <v>-0.1151642818965587</v>
      </c>
      <c r="R440" s="887" cm="1">
        <f t="array" ref="R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Data'!$B:$B),_xlfn.XMATCH($B$1,'Talnagögn | Numerical Data'!$1:$1))</f>
        <v>-3.470004716558492</v>
      </c>
      <c r="S440" s="877" cm="1">
        <f t="array" ref="S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Data'!$B:$B),_xlfn.XMATCH($B$1,'Talnagögn | Numerical Data'!$1:$1))-1</f>
        <v>-0.14799436182526671</v>
      </c>
      <c r="AD440" s="760"/>
      <c r="AG440" s="882" t="str">
        <f>'Talnagögn | Numerical Data'!$E$152</f>
        <v>Other Emissions</v>
      </c>
      <c r="AH440" s="883" cm="1">
        <f t="array" ref="AH440">INDEX('Talnagögn | Numerical Data'!$1:$1048576,_xlfn.XMATCH($A440,'Talnagögn | Numerical Data'!$B:$B),_xlfn.XMATCH($A$1,'Talnagögn | Numerical Data'!$1:$1))</f>
        <v>20.377565843128309</v>
      </c>
      <c r="AI440" s="875">
        <f>$F$440/$F$441</f>
        <v>3.0432484877267869E-2</v>
      </c>
      <c r="AJ440" s="884" cm="1">
        <f t="array" ref="AJ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Data'!$B:$B),_xlfn.XMATCH($B$3,'Talnagögn | Numerical Data'!$1:$1))</f>
        <v>-0.53692679067080462</v>
      </c>
      <c r="AK440" s="875" cm="1">
        <f t="array" ref="AK440">INDEX('Talnagögn | Numerical Data'!$1:$1048576, _xlfn.XMATCH($A440,'Talnagögn | Numerical Data'!$B:$B), _xlfn.XMATCH($A$1,'Talnagögn | Numerical Data'!$1:$1))/INDEX('Talnagögn | Numerical Data'!$1:$1048576, _xlfn.XMATCH($A440,'Talnagögn | Numerical Data'!$B:$B), _xlfn.XMATCH($B$3,'Talnagögn | Numerical Data'!$1:$1))-1</f>
        <v>-2.5672475066552569E-2</v>
      </c>
      <c r="AL440" s="874" cm="1">
        <f t="array" ref="AL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Data'!$B:$B),_xlfn.XMATCH($B$2,'Talnagögn | Numerical Data'!$1:$1))</f>
        <v>-2.7334037945719274</v>
      </c>
      <c r="AM440" s="876" cm="1">
        <f t="array" ref="AM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Data'!$B:$B),_xlfn.XMATCH($B$2,'Talnagögn | Numerical Data'!$1:$1))-1</f>
        <v>-0.11827300357458859</v>
      </c>
      <c r="AN440" s="874" cm="1">
        <f t="array" ref="AN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Data'!$B:$B),_xlfn.XMATCH($B$1,'Talnagögn | Numerical Data'!$1:$1))</f>
        <v>-3.0693051981850203</v>
      </c>
      <c r="AO440" s="877" cm="1">
        <f t="array" ref="AO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Data'!$B:$B),_xlfn.XMATCH($B$1,'Talnagögn | Numerical Data'!$1:$1))-1</f>
        <v>-0.13090468202673666</v>
      </c>
      <c r="AQ440" s="882" t="str">
        <f>'Talnagögn | Numerical Data'!$E$152</f>
        <v>Other Emissions</v>
      </c>
      <c r="AR440" s="874" cm="1">
        <f t="array" ref="AR440">INDEX('Talnagögn | Numerical Data'!$1:$1048576,_xlfn.XMATCH($B440,'Talnagögn | Numerical Data'!$B:$B),_xlfn.XMATCH($B$4,'Talnagögn | Numerical Data'!$1:$1))-INDEX('Talnagögn | Numerical Data'!$1:$1048576,_xlfn.XMATCH($A440,'Talnagögn | Numerical Data'!$B:$B),_xlfn.XMATCH($B$2,'Talnagögn | Numerical Data'!$1:$1))</f>
        <v>-2.6615582222589182</v>
      </c>
      <c r="AS440" s="876" cm="1">
        <f t="array" ref="AS440">INDEX('Talnagögn | Numerical Data'!$1:$1048576,_xlfn.XMATCH($B440,'Talnagögn | Numerical Data'!$B:$B),_xlfn.XMATCH($B$4,'Talnagögn | Numerical Data'!$1:$1))/INDEX('Talnagögn | Numerical Data'!$1:$1048576,_xlfn.XMATCH($A440,'Talnagögn | Numerical Data'!$B:$B),_xlfn.XMATCH($B$2,'Talnagögn | Numerical Data'!$1:$1))-1</f>
        <v>-0.1151642818965587</v>
      </c>
      <c r="AT440" s="887" cm="1">
        <f t="array" ref="AT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Data'!$B:$B),_xlfn.XMATCH($B$1,'Talnagögn | Numerical Data'!$1:$1))</f>
        <v>-3.470004716558492</v>
      </c>
      <c r="AU440" s="876" cm="1">
        <f t="array" ref="AU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Data'!$B:$B),_xlfn.XMATCH($B$1,'Talnagögn | Numerical Data'!$1:$1))-1</f>
        <v>-0.14799436182526671</v>
      </c>
      <c r="AV440" s="874" t="e" cm="1">
        <f t="array" ref="AV440">INDEX('Talnagögn | Numerical Data'!$1:$1048576,_xlfn.XMATCH($C440,'Talnagögn | Numerical Data'!$B:$B),_xlfn.XMATCH($B$4,'Talnagögn | Numerical Data'!$1:$1))-INDEX('Talnagögn | Numerical Data'!$1:$1048576,_xlfn.XMATCH($A440,'Talnagögn | Numerical Data'!$B:$B),_xlfn.XMATCH($B$2,'Talnagögn | Numerical Data'!$1:$1))</f>
        <v>#N/A</v>
      </c>
      <c r="AW440" s="877" t="e" cm="1">
        <f t="array" ref="AW440">INDEX('Talnagögn | Numerical Data'!$1:$1048576,_xlfn.XMATCH($C440,'Talnagögn | Numerical Data'!$B:$B),_xlfn.XMATCH($B$4,'Talnagögn | Numerical Data'!$1:$1))/INDEX('Talnagögn | Numerical Data'!$1:$1048576,_xlfn.XMATCH($A440,'Talnagögn | Numerical Data'!$B:$B),_xlfn.XMATCH($B$2,'Talnagögn | Numerical Data'!$1:$1))-1</f>
        <v>#N/A</v>
      </c>
    </row>
    <row r="441" spans="1:55" ht="29.25" customHeight="1" x14ac:dyDescent="0.4">
      <c r="A441" s="50" t="s">
        <v>44</v>
      </c>
      <c r="B441" s="50" t="s">
        <v>268</v>
      </c>
      <c r="C441" s="50" t="s">
        <v>275</v>
      </c>
      <c r="D441" s="245" t="s">
        <v>48</v>
      </c>
      <c r="E441" s="872" t="s">
        <v>12</v>
      </c>
      <c r="F441" s="865" cm="1">
        <f t="array" ref="F441">INDEX('Talnagögn | Numerical Data'!$1:$1048576,_xlfn.XMATCH($A441,'Talnagögn | Numerical Data'!$B:$B),_xlfn.XMATCH($A$1,'Talnagögn | Numerical Data'!$1:$1))</f>
        <v>669.59914464131464</v>
      </c>
      <c r="G441" s="864">
        <f>SUM(G435:G440)</f>
        <v>1</v>
      </c>
      <c r="H441" s="1005" cm="1">
        <f t="array" ref="H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Data'!$B:$B),_xlfn.XMATCH($B$3,'Talnagögn | Numerical Data'!$1:$1))</f>
        <v>-6.0262763072659027</v>
      </c>
      <c r="I441" s="1058" cm="1">
        <f t="array" ref="I441">INDEX('Talnagögn | Numerical Data'!$1:$1048576, _xlfn.XMATCH($A441,'Talnagögn | Numerical Data'!$B:$B), _xlfn.XMATCH($A$1,'Talnagögn | Numerical Data'!$1:$1))/INDEX('Talnagögn | Numerical Data'!$1:$1048576, _xlfn.XMATCH($A441,'Talnagögn | Numerical Data'!$B:$B), _xlfn.XMATCH($B$3,'Talnagögn | Numerical Data'!$1:$1))-1</f>
        <v>-8.9195523442634483E-3</v>
      </c>
      <c r="J441" s="1005" cm="1">
        <f t="array" ref="J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Data'!$B:$B),_xlfn.XMATCH($B$2,'Talnagögn | Numerical Data'!$1:$1))</f>
        <v>-6.7570985142256177</v>
      </c>
      <c r="K441" s="866" cm="1">
        <f t="array" ref="K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Data'!$B:$B),_xlfn.XMATCH($B$2,'Talnagögn | Numerical Data'!$1:$1))-1</f>
        <v>-9.9904430285145951E-3</v>
      </c>
      <c r="L441" s="865" cm="1">
        <f t="array" ref="L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Data'!$B:$B),_xlfn.XMATCH($B$1,'Talnagögn | Numerical Data'!$1:$1))</f>
        <v>-36.171730878748576</v>
      </c>
      <c r="M441" s="885" cm="1">
        <f t="array" ref="M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Data'!$B:$B),_xlfn.XMATCH($B$1,'Talnagögn | Numerical Data'!$1:$1))-1</f>
        <v>-5.1251379354658955E-2</v>
      </c>
      <c r="N441" s="8"/>
      <c r="O441" s="872" t="s">
        <v>12</v>
      </c>
      <c r="P441" s="1005" cm="1">
        <f t="array" ref="P441">INDEX('Talnagögn | Numerical Data'!$1:$1048576,_xlfn.XMATCH($B441,'Talnagögn | Numerical Data'!$B:$B),_xlfn.XMATCH($B$4,'Talnagögn | Numerical Data'!$1:$1))-INDEX('Talnagögn | Numerical Data'!$1:$1048576,_xlfn.XMATCH($A441,'Talnagögn | Numerical Data'!$B:$B),_xlfn.XMATCH($B$2,'Talnagögn | Numerical Data'!$1:$1))</f>
        <v>-6.2097456645392413</v>
      </c>
      <c r="Q441" s="1058" cm="1">
        <f t="array" ref="Q441">INDEX('Talnagögn | Numerical Data'!$1:$1048576,_xlfn.XMATCH($B441,'Talnagögn | Numerical Data'!$B:$B),_xlfn.XMATCH($B$4,'Talnagögn | Numerical Data'!$1:$1))/INDEX('Talnagögn | Numerical Data'!$1:$1048576,_xlfn.XMATCH($A441,'Talnagögn | Numerical Data'!$B:$B),_xlfn.XMATCH($B$2,'Talnagögn | Numerical Data'!$1:$1))-1</f>
        <v>-9.1811759370589163E-3</v>
      </c>
      <c r="R441" s="865" cm="1">
        <f t="array" ref="R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Data'!$B:$B),_xlfn.XMATCH($B$1,'Talnagögn | Numerical Data'!$1:$1))</f>
        <v>-71.788039626321506</v>
      </c>
      <c r="S441" s="1127" cm="1">
        <f t="array" ref="S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Data'!$B:$B),_xlfn.XMATCH($B$1,'Talnagögn | Numerical Data'!$1:$1))-1</f>
        <v>-0.10171578640649181</v>
      </c>
      <c r="T441" s="8"/>
      <c r="U441" s="8"/>
      <c r="V441" s="8"/>
      <c r="W441" s="8"/>
      <c r="X441" s="8"/>
      <c r="Y441" s="8"/>
      <c r="Z441" s="8"/>
      <c r="AA441" s="8"/>
      <c r="AB441" s="8"/>
      <c r="AC441" s="8"/>
      <c r="AG441" s="872" t="s">
        <v>164</v>
      </c>
      <c r="AH441" s="865" cm="1">
        <f t="array" ref="AH441">INDEX('Talnagögn | Numerical Data'!$1:$1048576,_xlfn.XMATCH($A441,'Talnagögn | Numerical Data'!$B:$B),_xlfn.XMATCH($A$1,'Talnagögn | Numerical Data'!$1:$1))</f>
        <v>669.59914464131464</v>
      </c>
      <c r="AI441" s="864">
        <f>SUM(AI435:AI440)</f>
        <v>1</v>
      </c>
      <c r="AJ441" s="1005" cm="1">
        <f t="array" ref="AJ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Data'!$B:$B),_xlfn.XMATCH($B$3,'Talnagögn | Numerical Data'!$1:$1))</f>
        <v>-6.0262763072659027</v>
      </c>
      <c r="AK441" s="1058" cm="1">
        <f t="array" ref="AK441">INDEX('Talnagögn | Numerical Data'!$1:$1048576, _xlfn.XMATCH($A441,'Talnagögn | Numerical Data'!$B:$B), _xlfn.XMATCH($A$1,'Talnagögn | Numerical Data'!$1:$1))/INDEX('Talnagögn | Numerical Data'!$1:$1048576, _xlfn.XMATCH($A441,'Talnagögn | Numerical Data'!$B:$B), _xlfn.XMATCH($B$3,'Talnagögn | Numerical Data'!$1:$1))-1</f>
        <v>-8.9195523442634483E-3</v>
      </c>
      <c r="AL441" s="1005" cm="1">
        <f t="array" ref="AL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Data'!$B:$B),_xlfn.XMATCH($B$2,'Talnagögn | Numerical Data'!$1:$1))</f>
        <v>-6.7570985142256177</v>
      </c>
      <c r="AM441" s="866" cm="1">
        <f t="array" ref="AM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Data'!$B:$B),_xlfn.XMATCH($B$2,'Talnagögn | Numerical Data'!$1:$1))-1</f>
        <v>-9.9904430285145951E-3</v>
      </c>
      <c r="AN441" s="865" cm="1">
        <f t="array" ref="AN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Data'!$B:$B),_xlfn.XMATCH($B$1,'Talnagögn | Numerical Data'!$1:$1))</f>
        <v>-36.171730878748576</v>
      </c>
      <c r="AO441" s="885" cm="1">
        <f t="array" ref="AO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Data'!$B:$B),_xlfn.XMATCH($B$1,'Talnagögn | Numerical Data'!$1:$1))-1</f>
        <v>-5.1251379354658955E-2</v>
      </c>
      <c r="AP441" s="8"/>
      <c r="AQ441" s="872" t="s">
        <v>12</v>
      </c>
      <c r="AR441" s="1005" cm="1">
        <f t="array" ref="AR441">INDEX('Talnagögn | Numerical Data'!$1:$1048576,_xlfn.XMATCH($B441,'Talnagögn | Numerical Data'!$B:$B),_xlfn.XMATCH($B$4,'Talnagögn | Numerical Data'!$1:$1))-INDEX('Talnagögn | Numerical Data'!$1:$1048576,_xlfn.XMATCH($A441,'Talnagögn | Numerical Data'!$B:$B),_xlfn.XMATCH($B$2,'Talnagögn | Numerical Data'!$1:$1))</f>
        <v>-6.2097456645392413</v>
      </c>
      <c r="AS441" s="1058" cm="1">
        <f t="array" ref="AS441">INDEX('Talnagögn | Numerical Data'!$1:$1048576,_xlfn.XMATCH($B441,'Talnagögn | Numerical Data'!$B:$B),_xlfn.XMATCH($B$4,'Talnagögn | Numerical Data'!$1:$1))/INDEX('Talnagögn | Numerical Data'!$1:$1048576,_xlfn.XMATCH($A441,'Talnagögn | Numerical Data'!$B:$B),_xlfn.XMATCH($B$2,'Talnagögn | Numerical Data'!$1:$1))-1</f>
        <v>-9.1811759370589163E-3</v>
      </c>
      <c r="AT441" s="865" cm="1">
        <f t="array" ref="AT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Data'!$B:$B),_xlfn.XMATCH($B$1,'Talnagögn | Numerical Data'!$1:$1))</f>
        <v>-71.788039626321506</v>
      </c>
      <c r="AU441" s="864" cm="1">
        <f t="array" ref="AU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Data'!$B:$B),_xlfn.XMATCH($B$1,'Talnagögn | Numerical Data'!$1:$1))-1</f>
        <v>-0.10171578640649181</v>
      </c>
      <c r="AV441" s="865" t="e" cm="1">
        <f t="array" ref="AV441">INDEX('Talnagögn | Numerical Data'!$1:$1048576,_xlfn.XMATCH($C441,'Talnagögn | Numerical Data'!$B:$B),_xlfn.XMATCH($B$4,'Talnagögn | Numerical Data'!$1:$1))-INDEX('Talnagögn | Numerical Data'!$1:$1048576,_xlfn.XMATCH($A441,'Talnagögn | Numerical Data'!$B:$B),_xlfn.XMATCH($B$2,'Talnagögn | Numerical Data'!$1:$1))</f>
        <v>#N/A</v>
      </c>
      <c r="AW441" s="885" t="e" cm="1">
        <f t="array" ref="AW441">INDEX('Talnagögn | Numerical Data'!$1:$1048576,_xlfn.XMATCH($C441,'Talnagögn | Numerical Data'!$B:$B),_xlfn.XMATCH($B$4,'Talnagögn | Numerical Data'!$1:$1))/INDEX('Talnagögn | Numerical Data'!$1:$1048576,_xlfn.XMATCH($A441,'Talnagögn | Numerical Data'!$B:$B),_xlfn.XMATCH($B$2,'Talnagögn | Numerical Data'!$1:$1))-1</f>
        <v>#N/A</v>
      </c>
      <c r="AX441" s="8"/>
      <c r="AY441" s="8"/>
      <c r="AZ441" s="8"/>
      <c r="BA441" s="8"/>
      <c r="BB441" s="8"/>
      <c r="BC441" s="8"/>
    </row>
    <row r="442" spans="1:55" s="40" customFormat="1" ht="13.35" customHeight="1" x14ac:dyDescent="0.4">
      <c r="A442" s="1035" t="str">
        <f>"LANDBÚNAÐUR "&amp;$A$1</f>
        <v>LANDBÚNAÐUR 2024</v>
      </c>
      <c r="B442" s="1035" t="str">
        <f>"AGRICULTURE "&amp;$A$1</f>
        <v>AGRICULTURE 2024</v>
      </c>
      <c r="C442" s="1038" t="s">
        <v>48</v>
      </c>
      <c r="D442" s="245" t="s">
        <v>48</v>
      </c>
      <c r="E442" s="246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397"/>
      <c r="T442" s="397"/>
      <c r="U442" s="397"/>
      <c r="V442" s="397"/>
      <c r="W442" s="397"/>
      <c r="X442" s="397"/>
      <c r="Y442" s="397"/>
      <c r="Z442" s="397"/>
      <c r="AA442" s="397"/>
      <c r="AB442" s="397"/>
      <c r="AC442" s="397"/>
      <c r="AD442" s="762"/>
      <c r="AH442" s="397"/>
      <c r="AI442" s="397"/>
      <c r="AJ442" s="397"/>
      <c r="AK442" s="397"/>
      <c r="AL442" s="397"/>
      <c r="AM442" s="397"/>
      <c r="AN442" s="397"/>
      <c r="AO442" s="397"/>
      <c r="AP442" s="397"/>
      <c r="AQ442" s="397"/>
      <c r="AR442" s="397"/>
      <c r="AS442" s="397"/>
      <c r="AT442" s="397"/>
      <c r="AU442" s="397"/>
      <c r="AV442" s="397"/>
      <c r="AW442" s="397"/>
      <c r="AX442" s="397"/>
      <c r="AY442" s="397"/>
      <c r="AZ442" s="397"/>
      <c r="BA442" s="397"/>
      <c r="BB442" s="397"/>
      <c r="BC442" s="397"/>
    </row>
    <row r="443" spans="1:55" s="40" customFormat="1" ht="13.5" customHeight="1" x14ac:dyDescent="0.4">
      <c r="A443" s="50"/>
      <c r="B443" s="1040"/>
      <c r="C443" s="1040"/>
      <c r="D443" s="245" t="s">
        <v>48</v>
      </c>
      <c r="E443" s="246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397"/>
      <c r="T443" s="397"/>
      <c r="U443" s="397"/>
      <c r="V443" s="397"/>
      <c r="W443" s="397"/>
      <c r="X443" s="397"/>
      <c r="Y443" s="397"/>
      <c r="Z443" s="397"/>
      <c r="AA443" s="397"/>
      <c r="AB443" s="397"/>
      <c r="AC443" s="397"/>
      <c r="AD443" s="762"/>
      <c r="AH443" s="397"/>
      <c r="AI443" s="397"/>
      <c r="AJ443" s="397"/>
      <c r="AK443" s="397"/>
      <c r="AL443" s="397"/>
      <c r="AM443" s="397"/>
      <c r="AN443" s="397"/>
      <c r="AO443" s="397"/>
      <c r="AP443" s="397"/>
      <c r="AQ443" s="397"/>
      <c r="AR443" s="397"/>
      <c r="AS443" s="397"/>
      <c r="AT443" s="397"/>
      <c r="AU443" s="397"/>
      <c r="AV443" s="397"/>
      <c r="AW443" s="397"/>
      <c r="AX443" s="397"/>
      <c r="AY443" s="397"/>
      <c r="AZ443" s="397"/>
      <c r="BA443" s="397"/>
      <c r="BB443" s="397"/>
      <c r="BC443" s="397"/>
    </row>
    <row r="444" spans="1:55" s="40" customFormat="1" ht="13.5" customHeight="1" x14ac:dyDescent="0.4">
      <c r="A444" s="50"/>
      <c r="B444" s="1040"/>
      <c r="C444" s="1040"/>
      <c r="D444" s="245" t="s">
        <v>48</v>
      </c>
      <c r="E444" s="246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397"/>
      <c r="T444" s="397"/>
      <c r="U444" s="397"/>
      <c r="V444" s="397"/>
      <c r="W444" s="397"/>
      <c r="X444" s="397"/>
      <c r="Y444" s="397"/>
      <c r="Z444" s="397"/>
      <c r="AA444" s="397"/>
      <c r="AB444" s="397"/>
      <c r="AC444" s="397"/>
      <c r="AD444" s="762"/>
      <c r="AH444" s="397"/>
      <c r="AI444" s="397"/>
      <c r="AJ444" s="397"/>
      <c r="AK444" s="397"/>
      <c r="AL444" s="397"/>
      <c r="AM444" s="397"/>
      <c r="AN444" s="397"/>
      <c r="AO444" s="397"/>
      <c r="AP444" s="397"/>
      <c r="AQ444" s="397"/>
      <c r="AR444" s="397"/>
      <c r="AS444" s="397"/>
      <c r="AT444" s="397"/>
      <c r="AU444" s="397"/>
      <c r="AV444" s="397"/>
      <c r="AW444" s="397"/>
      <c r="AX444" s="397"/>
      <c r="AY444" s="397"/>
      <c r="AZ444" s="397"/>
      <c r="BA444" s="397"/>
      <c r="BB444" s="397"/>
      <c r="BC444" s="397"/>
    </row>
    <row r="445" spans="1:55" s="40" customFormat="1" ht="13.5" customHeight="1" x14ac:dyDescent="0.4">
      <c r="A445" s="50"/>
      <c r="B445" s="1040"/>
      <c r="C445" s="1040"/>
      <c r="D445" s="245" t="s">
        <v>48</v>
      </c>
      <c r="E445" s="246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397"/>
      <c r="T445" s="397"/>
      <c r="U445" s="397"/>
      <c r="V445" s="397"/>
      <c r="W445" s="397"/>
      <c r="X445" s="397"/>
      <c r="Y445" s="397"/>
      <c r="Z445" s="397"/>
      <c r="AA445" s="397"/>
      <c r="AB445" s="397"/>
      <c r="AC445" s="397"/>
      <c r="AD445" s="762"/>
      <c r="AH445" s="397"/>
      <c r="AI445" s="397"/>
      <c r="AJ445" s="397"/>
      <c r="AK445" s="397"/>
      <c r="AL445" s="397"/>
      <c r="AM445" s="397"/>
      <c r="AN445" s="397"/>
      <c r="AO445" s="397"/>
      <c r="AP445" s="397"/>
      <c r="AQ445" s="397"/>
      <c r="AR445" s="397"/>
      <c r="AS445" s="397"/>
      <c r="AT445" s="397"/>
      <c r="AU445" s="397"/>
      <c r="AV445" s="397"/>
      <c r="AW445" s="397"/>
      <c r="AX445" s="397"/>
      <c r="AY445" s="397"/>
      <c r="AZ445" s="397"/>
      <c r="BA445" s="397"/>
      <c r="BB445" s="397"/>
      <c r="BC445" s="397"/>
    </row>
    <row r="446" spans="1:55" s="40" customFormat="1" ht="13.5" customHeight="1" x14ac:dyDescent="0.4">
      <c r="A446" s="50"/>
      <c r="B446" s="1038"/>
      <c r="C446" s="1040"/>
      <c r="D446" s="245" t="s">
        <v>48</v>
      </c>
      <c r="E446" s="246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397"/>
      <c r="T446" s="397"/>
      <c r="U446" s="397"/>
      <c r="V446" s="397"/>
      <c r="W446" s="397"/>
      <c r="X446" s="397"/>
      <c r="Y446" s="397"/>
      <c r="Z446" s="397"/>
      <c r="AA446" s="397"/>
      <c r="AB446" s="397"/>
      <c r="AC446" s="397"/>
      <c r="AD446" s="762"/>
      <c r="AH446" s="397"/>
      <c r="AI446" s="397"/>
      <c r="AJ446" s="397"/>
      <c r="AK446" s="397"/>
      <c r="AL446" s="397"/>
      <c r="AM446" s="397"/>
      <c r="AN446" s="397"/>
      <c r="AO446" s="397"/>
      <c r="AP446" s="397"/>
      <c r="AQ446" s="397"/>
      <c r="AR446" s="397"/>
      <c r="AS446" s="397"/>
      <c r="AT446" s="397"/>
      <c r="AU446" s="397"/>
      <c r="AV446" s="397"/>
      <c r="AW446" s="397"/>
      <c r="AX446" s="397"/>
      <c r="AY446" s="397"/>
      <c r="AZ446" s="397"/>
      <c r="BA446" s="397"/>
      <c r="BB446" s="397"/>
      <c r="BC446" s="397"/>
    </row>
    <row r="447" spans="1:55" s="40" customFormat="1" ht="13.5" customHeight="1" x14ac:dyDescent="0.4">
      <c r="A447" s="50"/>
      <c r="B447" s="1038"/>
      <c r="C447" s="1040"/>
      <c r="D447" s="245" t="s">
        <v>48</v>
      </c>
      <c r="E447" s="246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397"/>
      <c r="T447" s="397"/>
      <c r="U447" s="397"/>
      <c r="V447" s="397"/>
      <c r="W447" s="397"/>
      <c r="X447" s="397"/>
      <c r="Y447" s="397"/>
      <c r="Z447" s="397"/>
      <c r="AA447" s="397"/>
      <c r="AB447" s="397"/>
      <c r="AC447" s="397"/>
      <c r="AD447" s="762"/>
      <c r="AH447" s="397"/>
      <c r="AI447" s="397"/>
      <c r="AJ447" s="397"/>
      <c r="AK447" s="397"/>
      <c r="AL447" s="397"/>
      <c r="AM447" s="397"/>
      <c r="AN447" s="397"/>
      <c r="AO447" s="397"/>
      <c r="AP447" s="397"/>
      <c r="AQ447" s="397"/>
      <c r="AR447" s="397"/>
      <c r="AS447" s="397"/>
      <c r="AT447" s="397"/>
      <c r="AU447" s="397"/>
      <c r="AV447" s="397"/>
      <c r="AW447" s="397"/>
      <c r="AX447" s="397"/>
      <c r="AY447" s="397"/>
      <c r="AZ447" s="397"/>
      <c r="BA447" s="397"/>
      <c r="BB447" s="397"/>
      <c r="BC447" s="397"/>
    </row>
    <row r="448" spans="1:55" s="40" customFormat="1" ht="13.5" customHeight="1" x14ac:dyDescent="0.4">
      <c r="A448" s="50"/>
      <c r="B448" s="1038"/>
      <c r="C448" s="1040"/>
      <c r="D448" s="245" t="s">
        <v>48</v>
      </c>
      <c r="E448" s="246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397"/>
      <c r="T448" s="397"/>
      <c r="U448" s="397"/>
      <c r="V448" s="397"/>
      <c r="W448" s="397"/>
      <c r="X448" s="397"/>
      <c r="Y448" s="397"/>
      <c r="Z448" s="397"/>
      <c r="AA448" s="397"/>
      <c r="AB448" s="397"/>
      <c r="AC448" s="397"/>
      <c r="AD448" s="762"/>
      <c r="AH448" s="397"/>
      <c r="AI448" s="397"/>
      <c r="AJ448" s="397"/>
      <c r="AK448" s="397"/>
      <c r="AL448" s="397"/>
      <c r="AM448" s="397"/>
      <c r="AN448" s="397"/>
      <c r="AO448" s="397"/>
      <c r="AP448" s="397"/>
      <c r="AQ448" s="397"/>
      <c r="AR448" s="397"/>
      <c r="AS448" s="397"/>
      <c r="AT448" s="397"/>
      <c r="AU448" s="397"/>
      <c r="AV448" s="397"/>
      <c r="AW448" s="397"/>
      <c r="AX448" s="397"/>
      <c r="AY448" s="397"/>
      <c r="AZ448" s="397"/>
      <c r="BA448" s="397"/>
      <c r="BB448" s="397"/>
      <c r="BC448" s="397"/>
    </row>
    <row r="449" spans="1:55" s="40" customFormat="1" ht="13.5" customHeight="1" x14ac:dyDescent="0.4">
      <c r="A449" s="50"/>
      <c r="B449" s="1038"/>
      <c r="C449" s="1040"/>
      <c r="D449" s="245" t="s">
        <v>48</v>
      </c>
      <c r="E449" s="246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397"/>
      <c r="T449" s="397"/>
      <c r="U449" s="397"/>
      <c r="V449" s="397"/>
      <c r="W449" s="397"/>
      <c r="X449" s="397"/>
      <c r="Y449" s="397"/>
      <c r="Z449" s="397"/>
      <c r="AA449" s="397"/>
      <c r="AB449" s="397"/>
      <c r="AC449" s="397"/>
      <c r="AD449" s="762"/>
      <c r="AH449" s="397"/>
      <c r="AI449" s="397"/>
      <c r="AJ449" s="397"/>
      <c r="AK449" s="397"/>
      <c r="AL449" s="397"/>
      <c r="AM449" s="397"/>
      <c r="AN449" s="397"/>
      <c r="AO449" s="397"/>
      <c r="AP449" s="397"/>
      <c r="AQ449" s="397"/>
      <c r="AR449" s="397"/>
      <c r="AS449" s="397"/>
      <c r="AT449" s="397"/>
      <c r="AU449" s="397"/>
      <c r="AV449" s="397"/>
      <c r="AW449" s="397"/>
      <c r="AX449" s="397"/>
      <c r="AY449" s="397"/>
      <c r="AZ449" s="397"/>
      <c r="BA449" s="397"/>
      <c r="BB449" s="397"/>
      <c r="BC449" s="397"/>
    </row>
    <row r="450" spans="1:55" s="40" customFormat="1" ht="13.5" customHeight="1" x14ac:dyDescent="0.4">
      <c r="A450" s="50"/>
      <c r="B450" s="1038"/>
      <c r="C450" s="1040"/>
      <c r="D450" s="245" t="s">
        <v>48</v>
      </c>
      <c r="E450" s="246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397"/>
      <c r="T450" s="397"/>
      <c r="U450" s="397"/>
      <c r="V450" s="397"/>
      <c r="W450" s="397"/>
      <c r="X450" s="397"/>
      <c r="Y450" s="397"/>
      <c r="Z450" s="397"/>
      <c r="AA450" s="397"/>
      <c r="AB450" s="397"/>
      <c r="AC450" s="397"/>
      <c r="AD450" s="762"/>
      <c r="AH450" s="397"/>
      <c r="AI450" s="397"/>
      <c r="AJ450" s="397"/>
      <c r="AK450" s="397"/>
      <c r="AL450" s="397"/>
      <c r="AM450" s="397"/>
      <c r="AN450" s="397"/>
      <c r="AO450" s="397"/>
      <c r="AP450" s="397"/>
      <c r="AQ450" s="397"/>
      <c r="AR450" s="397"/>
      <c r="AS450" s="397"/>
      <c r="AT450" s="397"/>
      <c r="AU450" s="397"/>
      <c r="AV450" s="397"/>
      <c r="AW450" s="397"/>
      <c r="AX450" s="397"/>
      <c r="AY450" s="397"/>
      <c r="AZ450" s="397"/>
      <c r="BA450" s="397"/>
      <c r="BB450" s="397"/>
      <c r="BC450" s="397"/>
    </row>
    <row r="451" spans="1:55" s="40" customFormat="1" ht="13.5" customHeight="1" x14ac:dyDescent="0.4">
      <c r="A451" s="50"/>
      <c r="B451" s="1038"/>
      <c r="C451" s="1038"/>
      <c r="D451" s="245" t="s">
        <v>48</v>
      </c>
      <c r="E451" s="246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397"/>
      <c r="T451" s="397"/>
      <c r="U451" s="397"/>
      <c r="V451" s="397"/>
      <c r="W451" s="397"/>
      <c r="X451" s="397"/>
      <c r="Y451" s="397"/>
      <c r="Z451" s="397"/>
      <c r="AA451" s="397"/>
      <c r="AB451" s="397"/>
      <c r="AC451" s="397"/>
      <c r="AD451" s="762"/>
      <c r="AH451" s="397"/>
      <c r="AI451" s="397"/>
      <c r="AJ451" s="397"/>
      <c r="AK451" s="397"/>
      <c r="AL451" s="397"/>
      <c r="AM451" s="397"/>
      <c r="AN451" s="397"/>
      <c r="AO451" s="397"/>
      <c r="AP451" s="397"/>
      <c r="AQ451" s="397"/>
      <c r="AR451" s="397"/>
      <c r="AS451" s="397"/>
      <c r="AT451" s="397"/>
      <c r="AU451" s="397"/>
      <c r="AV451" s="397"/>
      <c r="AW451" s="397"/>
      <c r="AX451" s="397"/>
      <c r="AY451" s="397"/>
      <c r="AZ451" s="397"/>
      <c r="BA451" s="397"/>
      <c r="BB451" s="397"/>
      <c r="BC451" s="397"/>
    </row>
    <row r="452" spans="1:55" s="40" customFormat="1" ht="13.5" customHeight="1" x14ac:dyDescent="0.4">
      <c r="A452" s="50"/>
      <c r="B452" s="1038"/>
      <c r="C452" s="1038"/>
      <c r="D452" s="245" t="s">
        <v>48</v>
      </c>
      <c r="E452" s="246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397"/>
      <c r="T452" s="397"/>
      <c r="U452" s="397"/>
      <c r="V452" s="397"/>
      <c r="W452" s="397"/>
      <c r="X452" s="397"/>
      <c r="Y452" s="397"/>
      <c r="Z452" s="397"/>
      <c r="AA452" s="397"/>
      <c r="AB452" s="397"/>
      <c r="AC452" s="397"/>
      <c r="AD452" s="762"/>
      <c r="AH452" s="397"/>
      <c r="AI452" s="397"/>
      <c r="AJ452" s="397"/>
      <c r="AK452" s="397"/>
      <c r="AL452" s="397"/>
      <c r="AM452" s="397"/>
      <c r="AN452" s="397"/>
      <c r="AO452" s="397"/>
      <c r="AP452" s="397"/>
      <c r="AQ452" s="397"/>
      <c r="AR452" s="397"/>
      <c r="AS452" s="397"/>
      <c r="AT452" s="397"/>
      <c r="AU452" s="397"/>
      <c r="AV452" s="397"/>
      <c r="AW452" s="397"/>
      <c r="AX452" s="397"/>
      <c r="AY452" s="397"/>
      <c r="AZ452" s="397"/>
      <c r="BA452" s="397"/>
      <c r="BB452" s="397"/>
      <c r="BC452" s="397"/>
    </row>
    <row r="453" spans="1:55" s="40" customFormat="1" ht="13.5" customHeight="1" x14ac:dyDescent="0.4">
      <c r="A453" s="50"/>
      <c r="B453" s="1038"/>
      <c r="C453" s="1038"/>
      <c r="D453" s="245" t="s">
        <v>48</v>
      </c>
      <c r="E453" s="246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397"/>
      <c r="T453" s="397"/>
      <c r="U453" s="397"/>
      <c r="V453" s="397"/>
      <c r="W453" s="397"/>
      <c r="X453" s="397"/>
      <c r="Y453" s="397"/>
      <c r="Z453" s="397"/>
      <c r="AA453" s="397"/>
      <c r="AB453" s="397"/>
      <c r="AC453" s="397"/>
      <c r="AD453" s="762"/>
      <c r="AH453" s="397"/>
      <c r="AI453" s="397"/>
      <c r="AJ453" s="397"/>
      <c r="AK453" s="397"/>
      <c r="AL453" s="397"/>
      <c r="AM453" s="397"/>
      <c r="AN453" s="397"/>
      <c r="AO453" s="397"/>
      <c r="AP453" s="397"/>
      <c r="AQ453" s="397"/>
      <c r="AR453" s="397"/>
      <c r="AS453" s="397"/>
      <c r="AT453" s="397"/>
      <c r="AU453" s="397"/>
      <c r="AV453" s="397"/>
      <c r="AW453" s="397"/>
      <c r="AX453" s="397"/>
      <c r="AY453" s="397"/>
      <c r="AZ453" s="397"/>
      <c r="BA453" s="397"/>
      <c r="BB453" s="397"/>
      <c r="BC453" s="397"/>
    </row>
    <row r="454" spans="1:55" s="40" customFormat="1" ht="13.5" customHeight="1" x14ac:dyDescent="0.4">
      <c r="A454" s="50"/>
      <c r="B454" s="1038"/>
      <c r="C454" s="1038"/>
      <c r="D454" s="245" t="s">
        <v>48</v>
      </c>
      <c r="E454" s="246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397"/>
      <c r="T454" s="397"/>
      <c r="U454" s="397"/>
      <c r="V454" s="397"/>
      <c r="W454" s="397"/>
      <c r="X454" s="397"/>
      <c r="Y454" s="397"/>
      <c r="Z454" s="397"/>
      <c r="AA454" s="397"/>
      <c r="AB454" s="397"/>
      <c r="AC454" s="397"/>
      <c r="AD454" s="762"/>
      <c r="AH454" s="397"/>
      <c r="AI454" s="397"/>
      <c r="AJ454" s="397"/>
      <c r="AK454" s="397"/>
      <c r="AL454" s="397"/>
      <c r="AM454" s="397"/>
      <c r="AN454" s="397"/>
      <c r="AO454" s="397"/>
      <c r="AP454" s="397"/>
      <c r="AQ454" s="397"/>
      <c r="AR454" s="397"/>
      <c r="AS454" s="397"/>
      <c r="AT454" s="397"/>
      <c r="AU454" s="397"/>
      <c r="AV454" s="397"/>
      <c r="AW454" s="397"/>
      <c r="AX454" s="397"/>
      <c r="AY454" s="397"/>
      <c r="AZ454" s="397"/>
      <c r="BA454" s="397"/>
      <c r="BB454" s="397"/>
      <c r="BC454" s="397"/>
    </row>
    <row r="455" spans="1:55" s="40" customFormat="1" ht="13.5" customHeight="1" x14ac:dyDescent="0.4">
      <c r="A455" s="50"/>
      <c r="B455" s="1038"/>
      <c r="C455" s="1038"/>
      <c r="D455" s="245" t="s">
        <v>48</v>
      </c>
      <c r="E455" s="246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397"/>
      <c r="T455" s="397"/>
      <c r="U455" s="397"/>
      <c r="V455" s="397"/>
      <c r="W455" s="397"/>
      <c r="X455" s="397"/>
      <c r="Y455" s="397"/>
      <c r="Z455" s="397"/>
      <c r="AA455" s="397"/>
      <c r="AB455" s="397"/>
      <c r="AC455" s="397"/>
      <c r="AD455" s="762"/>
      <c r="AH455" s="397"/>
      <c r="AI455" s="397"/>
      <c r="AJ455" s="397"/>
      <c r="AK455" s="397"/>
      <c r="AL455" s="397"/>
      <c r="AM455" s="397"/>
      <c r="AN455" s="397"/>
      <c r="AO455" s="397"/>
      <c r="AP455" s="397"/>
      <c r="AQ455" s="397"/>
      <c r="AR455" s="397"/>
      <c r="AS455" s="397"/>
      <c r="AT455" s="397"/>
      <c r="AU455" s="397"/>
      <c r="AV455" s="397"/>
      <c r="AW455" s="397"/>
      <c r="AX455" s="397"/>
      <c r="AY455" s="397"/>
      <c r="AZ455" s="397"/>
      <c r="BA455" s="397"/>
      <c r="BB455" s="397"/>
      <c r="BC455" s="397"/>
    </row>
    <row r="456" spans="1:55" s="40" customFormat="1" ht="13.5" customHeight="1" x14ac:dyDescent="0.4">
      <c r="A456" s="50"/>
      <c r="B456" s="1040"/>
      <c r="C456" s="1040"/>
      <c r="D456" s="245" t="s">
        <v>48</v>
      </c>
      <c r="E456" s="246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397"/>
      <c r="T456" s="397"/>
      <c r="U456" s="397"/>
      <c r="V456" s="397"/>
      <c r="W456" s="397"/>
      <c r="X456" s="397"/>
      <c r="Y456" s="397"/>
      <c r="Z456" s="397"/>
      <c r="AA456" s="397"/>
      <c r="AB456" s="397"/>
      <c r="AC456" s="397"/>
      <c r="AD456" s="762"/>
      <c r="AH456" s="397"/>
      <c r="AI456" s="397"/>
      <c r="AJ456" s="397"/>
      <c r="AK456" s="397"/>
      <c r="AL456" s="397"/>
      <c r="AM456" s="397"/>
      <c r="AN456" s="397"/>
      <c r="AO456" s="397"/>
      <c r="AP456" s="397"/>
      <c r="AQ456" s="397"/>
      <c r="AR456" s="397"/>
      <c r="AS456" s="397"/>
      <c r="AT456" s="397"/>
      <c r="AU456" s="397"/>
      <c r="AV456" s="397"/>
      <c r="AW456" s="397"/>
      <c r="AX456" s="397"/>
      <c r="AY456" s="397"/>
      <c r="AZ456" s="397"/>
      <c r="BA456" s="397"/>
      <c r="BB456" s="397"/>
      <c r="BC456" s="397"/>
    </row>
    <row r="457" spans="1:55" s="40" customFormat="1" ht="13.5" customHeight="1" x14ac:dyDescent="0.4">
      <c r="A457" s="50"/>
      <c r="B457" s="1040"/>
      <c r="C457" s="1040"/>
      <c r="D457" s="245" t="s">
        <v>48</v>
      </c>
      <c r="E457" s="246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761"/>
      <c r="X457" s="747"/>
      <c r="Y457" s="747"/>
      <c r="Z457" s="747"/>
      <c r="AA457" s="747"/>
      <c r="AB457" s="747"/>
      <c r="AC457" s="747"/>
      <c r="AD457" s="766"/>
      <c r="AE457" s="233"/>
      <c r="AF457" s="233"/>
      <c r="AG457" s="233"/>
      <c r="AH457" s="397"/>
      <c r="AI457" s="397"/>
      <c r="AJ457" s="397"/>
      <c r="AK457" s="397"/>
      <c r="AL457" s="397"/>
      <c r="AM457" s="397"/>
      <c r="AN457" s="397"/>
      <c r="AO457" s="397"/>
      <c r="AP457" s="397"/>
      <c r="AQ457" s="397"/>
      <c r="AR457" s="397"/>
      <c r="AS457" s="397"/>
      <c r="AT457" s="397"/>
      <c r="AU457" s="397"/>
      <c r="AV457" s="397"/>
      <c r="AW457" s="397"/>
      <c r="AX457" s="397"/>
      <c r="AY457" s="397"/>
      <c r="AZ457" s="397"/>
      <c r="BA457" s="397"/>
      <c r="BB457" s="397"/>
      <c r="BC457" s="397"/>
    </row>
    <row r="458" spans="1:55" s="40" customFormat="1" ht="13.5" customHeight="1" x14ac:dyDescent="0.4">
      <c r="A458" s="50"/>
      <c r="B458" s="1040"/>
      <c r="C458" s="1040"/>
      <c r="D458" s="245" t="s">
        <v>48</v>
      </c>
      <c r="E458" s="246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761"/>
      <c r="X458" s="747"/>
      <c r="Y458" s="747"/>
      <c r="Z458" s="747"/>
      <c r="AA458" s="747"/>
      <c r="AB458" s="747"/>
      <c r="AC458" s="747"/>
      <c r="AD458" s="766"/>
      <c r="AE458" s="233"/>
      <c r="AF458" s="233"/>
      <c r="AG458" s="233"/>
      <c r="AH458" s="397"/>
      <c r="AI458" s="397"/>
      <c r="AJ458" s="397"/>
      <c r="AK458" s="397"/>
      <c r="AL458" s="397"/>
      <c r="AM458" s="397"/>
      <c r="AN458" s="397"/>
      <c r="AO458" s="397"/>
      <c r="AP458" s="397"/>
      <c r="AQ458" s="397"/>
      <c r="AR458" s="397"/>
      <c r="AS458" s="397"/>
      <c r="AT458" s="397"/>
      <c r="AU458" s="397"/>
      <c r="AV458" s="397"/>
      <c r="AW458" s="397"/>
      <c r="AX458" s="397"/>
      <c r="AY458" s="397"/>
      <c r="AZ458" s="397"/>
      <c r="BA458" s="397"/>
      <c r="BB458" s="397"/>
      <c r="BC458" s="397"/>
    </row>
    <row r="459" spans="1:55" s="40" customFormat="1" ht="13.5" customHeight="1" x14ac:dyDescent="0.4">
      <c r="A459" s="50"/>
      <c r="B459" s="1040"/>
      <c r="C459" s="1040"/>
      <c r="D459" s="245" t="s">
        <v>48</v>
      </c>
      <c r="E459" s="246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761"/>
      <c r="X459" s="747"/>
      <c r="Y459" s="747"/>
      <c r="Z459" s="747"/>
      <c r="AA459" s="747"/>
      <c r="AB459" s="747"/>
      <c r="AC459" s="747"/>
      <c r="AD459" s="766"/>
      <c r="AE459" s="233"/>
      <c r="AF459" s="233"/>
      <c r="AG459" s="233"/>
      <c r="AH459" s="397"/>
      <c r="AI459" s="397"/>
      <c r="AJ459" s="397"/>
      <c r="AK459" s="397"/>
      <c r="AL459" s="397"/>
      <c r="AM459" s="397"/>
      <c r="AN459" s="397"/>
      <c r="AO459" s="397"/>
      <c r="AP459" s="397"/>
      <c r="AQ459" s="397"/>
      <c r="AR459" s="397"/>
      <c r="AS459" s="397"/>
      <c r="AT459" s="397"/>
      <c r="AU459" s="397"/>
      <c r="AV459" s="397"/>
      <c r="AW459" s="397"/>
      <c r="AX459" s="397"/>
      <c r="AY459" s="397"/>
      <c r="AZ459" s="397"/>
      <c r="BA459" s="397"/>
      <c r="BB459" s="397"/>
      <c r="BC459" s="397"/>
    </row>
    <row r="460" spans="1:55" s="40" customFormat="1" ht="13.5" customHeight="1" x14ac:dyDescent="0.4">
      <c r="A460" s="50"/>
      <c r="B460" s="1040"/>
      <c r="C460" s="1040"/>
      <c r="D460" s="245" t="s">
        <v>48</v>
      </c>
      <c r="E460" s="246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761"/>
      <c r="X460" s="747"/>
      <c r="Y460" s="747"/>
      <c r="Z460" s="747"/>
      <c r="AA460" s="747"/>
      <c r="AB460" s="747"/>
      <c r="AC460" s="747"/>
      <c r="AD460" s="766"/>
      <c r="AE460" s="233"/>
      <c r="AF460" s="233"/>
      <c r="AG460" s="233"/>
      <c r="AH460" s="397"/>
      <c r="AI460" s="397"/>
      <c r="AJ460" s="397"/>
      <c r="AK460" s="397"/>
      <c r="AL460" s="397"/>
      <c r="AM460" s="397"/>
      <c r="AN460" s="397"/>
      <c r="AO460" s="397"/>
      <c r="AP460" s="397"/>
      <c r="AQ460" s="397"/>
      <c r="AR460" s="397"/>
      <c r="AS460" s="397"/>
      <c r="AT460" s="397"/>
      <c r="AU460" s="397"/>
      <c r="AV460" s="397"/>
      <c r="AW460" s="397"/>
      <c r="AX460" s="397"/>
      <c r="AY460" s="397"/>
      <c r="AZ460" s="397"/>
      <c r="BA460" s="397"/>
      <c r="BB460" s="397"/>
      <c r="BC460" s="397"/>
    </row>
    <row r="461" spans="1:55" s="40" customFormat="1" ht="13.5" customHeight="1" x14ac:dyDescent="0.4">
      <c r="A461" s="50"/>
      <c r="B461" s="1040"/>
      <c r="C461" s="1040"/>
      <c r="D461" s="245" t="s">
        <v>48</v>
      </c>
      <c r="E461" s="246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761"/>
      <c r="X461" s="747"/>
      <c r="Y461" s="747"/>
      <c r="Z461" s="747"/>
      <c r="AA461" s="747"/>
      <c r="AB461" s="747"/>
      <c r="AC461" s="747"/>
      <c r="AD461" s="766"/>
      <c r="AE461" s="233"/>
      <c r="AF461" s="233"/>
      <c r="AG461" s="233"/>
      <c r="AH461" s="397"/>
      <c r="AI461" s="397"/>
      <c r="AJ461" s="397"/>
      <c r="AK461" s="397"/>
      <c r="AL461" s="397"/>
      <c r="AM461" s="397"/>
      <c r="AN461" s="397"/>
      <c r="AO461" s="397"/>
      <c r="AP461" s="397"/>
      <c r="AQ461" s="397"/>
      <c r="AR461" s="397"/>
      <c r="AS461" s="397"/>
      <c r="AT461" s="397"/>
      <c r="AU461" s="397"/>
      <c r="AV461" s="397"/>
      <c r="AW461" s="397"/>
      <c r="AX461" s="397"/>
      <c r="AY461" s="397"/>
      <c r="AZ461" s="397"/>
      <c r="BA461" s="397"/>
      <c r="BB461" s="397"/>
      <c r="BC461" s="397"/>
    </row>
    <row r="462" spans="1:55" s="40" customFormat="1" ht="13.5" customHeight="1" x14ac:dyDescent="0.4">
      <c r="A462" s="50"/>
      <c r="B462" s="1040"/>
      <c r="C462" s="1040"/>
      <c r="D462" s="245" t="s">
        <v>48</v>
      </c>
      <c r="E462" s="246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761"/>
      <c r="X462" s="747"/>
      <c r="Y462" s="747"/>
      <c r="Z462" s="747"/>
      <c r="AA462" s="747"/>
      <c r="AB462" s="747"/>
      <c r="AC462" s="747"/>
      <c r="AD462" s="766"/>
      <c r="AE462" s="233"/>
      <c r="AF462" s="233"/>
      <c r="AG462" s="233"/>
      <c r="AH462" s="397"/>
      <c r="AI462" s="397"/>
      <c r="AJ462" s="397"/>
      <c r="AK462" s="397"/>
      <c r="AL462" s="397"/>
      <c r="AM462" s="397"/>
      <c r="AN462" s="397"/>
      <c r="AO462" s="397"/>
      <c r="AP462" s="397"/>
      <c r="AQ462" s="397"/>
      <c r="AR462" s="397"/>
      <c r="AS462" s="397"/>
      <c r="AT462" s="397"/>
      <c r="AU462" s="397"/>
      <c r="AV462" s="397"/>
      <c r="AW462" s="397"/>
      <c r="AX462" s="397"/>
      <c r="AY462" s="397"/>
      <c r="AZ462" s="397"/>
      <c r="BA462" s="397"/>
      <c r="BB462" s="397"/>
      <c r="BC462" s="397"/>
    </row>
    <row r="463" spans="1:55" s="40" customFormat="1" ht="13.5" customHeight="1" x14ac:dyDescent="0.4">
      <c r="A463" s="50"/>
      <c r="B463" s="1040"/>
      <c r="C463" s="1040"/>
      <c r="D463" s="245" t="s">
        <v>48</v>
      </c>
      <c r="E463" s="246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761"/>
      <c r="X463" s="747"/>
      <c r="Y463" s="747"/>
      <c r="Z463" s="747"/>
      <c r="AA463" s="747"/>
      <c r="AB463" s="747"/>
      <c r="AC463" s="747"/>
      <c r="AD463" s="766"/>
      <c r="AE463" s="233"/>
      <c r="AF463" s="233"/>
      <c r="AG463" s="233"/>
      <c r="AH463" s="397"/>
      <c r="AI463" s="397"/>
      <c r="AJ463" s="397"/>
      <c r="AK463" s="397"/>
      <c r="AL463" s="397"/>
      <c r="AM463" s="397"/>
      <c r="AN463" s="397"/>
      <c r="AO463" s="397"/>
      <c r="AP463" s="397"/>
      <c r="AQ463" s="397"/>
      <c r="AR463" s="397"/>
      <c r="AS463" s="397"/>
      <c r="AT463" s="397"/>
      <c r="AU463" s="397"/>
      <c r="AV463" s="397"/>
      <c r="AW463" s="397"/>
      <c r="AX463" s="397"/>
      <c r="AY463" s="397"/>
      <c r="AZ463" s="397"/>
      <c r="BA463" s="397"/>
      <c r="BB463" s="397"/>
      <c r="BC463" s="397"/>
    </row>
    <row r="464" spans="1:55" s="40" customFormat="1" ht="13.5" customHeight="1" x14ac:dyDescent="0.4">
      <c r="A464" s="50"/>
      <c r="B464" s="1040"/>
      <c r="C464" s="1040"/>
      <c r="D464" s="245" t="s">
        <v>48</v>
      </c>
      <c r="E464" s="246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761"/>
      <c r="X464" s="747"/>
      <c r="Y464" s="747"/>
      <c r="Z464" s="747"/>
      <c r="AA464" s="747"/>
      <c r="AB464" s="747"/>
      <c r="AC464" s="747"/>
      <c r="AD464" s="766"/>
      <c r="AE464" s="233"/>
      <c r="AF464" s="233"/>
      <c r="AG464" s="233"/>
      <c r="AH464" s="397"/>
      <c r="AI464" s="397"/>
      <c r="AJ464" s="397"/>
      <c r="AK464" s="397"/>
      <c r="AL464" s="397"/>
      <c r="AM464" s="397"/>
      <c r="AN464" s="397"/>
      <c r="AO464" s="397"/>
      <c r="AP464" s="397"/>
      <c r="AQ464" s="397"/>
      <c r="AR464" s="397"/>
      <c r="AS464" s="397"/>
      <c r="AT464" s="397"/>
      <c r="AU464" s="397"/>
      <c r="AV464" s="397"/>
      <c r="AW464" s="397"/>
      <c r="AX464" s="397"/>
      <c r="AY464" s="397"/>
      <c r="AZ464" s="397"/>
      <c r="BA464" s="397"/>
      <c r="BB464" s="397"/>
      <c r="BC464" s="397"/>
    </row>
    <row r="465" spans="1:55" s="40" customFormat="1" ht="13.5" customHeight="1" x14ac:dyDescent="0.4">
      <c r="A465" s="50"/>
      <c r="B465" s="1040"/>
      <c r="C465" s="1040"/>
      <c r="D465" s="245" t="s">
        <v>48</v>
      </c>
      <c r="E465" s="246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761"/>
      <c r="X465" s="747"/>
      <c r="Y465" s="747"/>
      <c r="Z465" s="747"/>
      <c r="AA465" s="747"/>
      <c r="AB465" s="747"/>
      <c r="AC465" s="747"/>
      <c r="AD465" s="766"/>
      <c r="AE465" s="233"/>
      <c r="AF465" s="233"/>
      <c r="AG465" s="233"/>
      <c r="AH465" s="397"/>
      <c r="AI465" s="397"/>
      <c r="AJ465" s="397"/>
      <c r="AK465" s="397"/>
      <c r="AL465" s="397"/>
      <c r="AM465" s="397"/>
      <c r="AN465" s="397"/>
      <c r="AO465" s="397"/>
      <c r="AP465" s="397"/>
      <c r="AQ465" s="397"/>
      <c r="AR465" s="397"/>
      <c r="AS465" s="397"/>
      <c r="AT465" s="397"/>
      <c r="AU465" s="397"/>
      <c r="AV465" s="397"/>
      <c r="AW465" s="397"/>
      <c r="AX465" s="397"/>
      <c r="AY465" s="397"/>
      <c r="AZ465" s="397"/>
      <c r="BA465" s="397"/>
      <c r="BB465" s="397"/>
      <c r="BC465" s="397"/>
    </row>
    <row r="466" spans="1:55" s="40" customFormat="1" ht="13.5" customHeight="1" x14ac:dyDescent="0.4">
      <c r="A466" s="50"/>
      <c r="B466" s="1040"/>
      <c r="C466" s="1040"/>
      <c r="D466" s="245" t="s">
        <v>48</v>
      </c>
      <c r="E466" s="246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761"/>
      <c r="X466" s="747"/>
      <c r="Y466" s="747"/>
      <c r="Z466" s="747"/>
      <c r="AA466" s="747"/>
      <c r="AB466" s="747"/>
      <c r="AC466" s="747"/>
      <c r="AD466" s="766"/>
      <c r="AE466" s="233"/>
      <c r="AF466" s="233"/>
      <c r="AG466" s="233"/>
      <c r="AH466" s="397"/>
      <c r="AI466" s="397"/>
      <c r="AJ466" s="397"/>
      <c r="AK466" s="397"/>
      <c r="AL466" s="397"/>
      <c r="AM466" s="397"/>
      <c r="AN466" s="397"/>
      <c r="AO466" s="397"/>
      <c r="AP466" s="397"/>
      <c r="AQ466" s="397"/>
      <c r="AR466" s="397"/>
      <c r="AS466" s="397"/>
      <c r="AT466" s="397"/>
      <c r="AU466" s="397"/>
      <c r="AV466" s="397"/>
      <c r="AW466" s="397"/>
      <c r="AX466" s="397"/>
      <c r="AY466" s="397"/>
      <c r="AZ466" s="397"/>
      <c r="BA466" s="397"/>
      <c r="BB466" s="397"/>
      <c r="BC466" s="397"/>
    </row>
    <row r="467" spans="1:55" s="40" customFormat="1" ht="13.5" customHeight="1" x14ac:dyDescent="0.4">
      <c r="A467" s="50"/>
      <c r="B467" s="1040"/>
      <c r="C467" s="1040"/>
      <c r="D467" s="245" t="s">
        <v>48</v>
      </c>
      <c r="E467" s="246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761"/>
      <c r="X467" s="747"/>
      <c r="Y467" s="747"/>
      <c r="Z467" s="747"/>
      <c r="AA467" s="747"/>
      <c r="AB467" s="747"/>
      <c r="AC467" s="747"/>
      <c r="AD467" s="766"/>
      <c r="AE467" s="233"/>
      <c r="AF467" s="233"/>
      <c r="AG467" s="233"/>
      <c r="AH467" s="397"/>
      <c r="AI467" s="397"/>
      <c r="AJ467" s="397"/>
      <c r="AK467" s="397"/>
      <c r="AL467" s="397"/>
      <c r="AM467" s="397"/>
      <c r="AN467" s="397"/>
      <c r="AO467" s="397"/>
      <c r="AP467" s="397"/>
      <c r="AQ467" s="397"/>
      <c r="AR467" s="397"/>
      <c r="AS467" s="397"/>
      <c r="AT467" s="397"/>
      <c r="AU467" s="397"/>
      <c r="AV467" s="397"/>
      <c r="AW467" s="397"/>
      <c r="AX467" s="397"/>
      <c r="AY467" s="397"/>
      <c r="AZ467" s="397"/>
      <c r="BA467" s="397"/>
      <c r="BB467" s="397"/>
      <c r="BC467" s="397"/>
    </row>
    <row r="468" spans="1:55" s="40" customFormat="1" ht="13.5" customHeight="1" x14ac:dyDescent="0.4">
      <c r="A468" s="50"/>
      <c r="B468" s="1040"/>
      <c r="C468" s="1040"/>
      <c r="D468" s="245" t="s">
        <v>48</v>
      </c>
      <c r="E468" s="246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761"/>
      <c r="X468" s="747"/>
      <c r="Y468" s="747"/>
      <c r="Z468" s="747"/>
      <c r="AA468" s="747"/>
      <c r="AB468" s="747"/>
      <c r="AC468" s="747"/>
      <c r="AD468" s="766"/>
      <c r="AE468" s="233"/>
      <c r="AF468" s="233"/>
      <c r="AG468" s="233"/>
      <c r="AH468" s="397"/>
      <c r="AI468" s="397"/>
      <c r="AJ468" s="397"/>
      <c r="AK468" s="397"/>
      <c r="AL468" s="397"/>
      <c r="AM468" s="397"/>
      <c r="AN468" s="397"/>
      <c r="AO468" s="397"/>
      <c r="AP468" s="397"/>
      <c r="AQ468" s="397"/>
      <c r="AR468" s="397"/>
      <c r="AS468" s="397"/>
      <c r="AT468" s="397"/>
      <c r="AU468" s="397"/>
      <c r="AV468" s="397"/>
      <c r="AW468" s="397"/>
      <c r="AX468" s="397"/>
      <c r="AY468" s="397"/>
      <c r="AZ468" s="397"/>
      <c r="BA468" s="397"/>
      <c r="BB468" s="397"/>
      <c r="BC468" s="397"/>
    </row>
    <row r="469" spans="1:55" s="40" customFormat="1" ht="13.5" customHeight="1" x14ac:dyDescent="0.4">
      <c r="A469" s="50"/>
      <c r="B469" s="1040"/>
      <c r="C469" s="1040"/>
      <c r="D469" s="245"/>
      <c r="E469" s="246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761"/>
      <c r="X469" s="747"/>
      <c r="Y469" s="747"/>
      <c r="Z469" s="747"/>
      <c r="AA469" s="747"/>
      <c r="AB469" s="747"/>
      <c r="AC469" s="747"/>
      <c r="AD469" s="766"/>
      <c r="AE469" s="233"/>
      <c r="AF469" s="233"/>
      <c r="AG469" s="233"/>
      <c r="AH469" s="397"/>
      <c r="AI469" s="397"/>
      <c r="AJ469" s="397"/>
      <c r="AK469" s="397"/>
      <c r="AL469" s="397"/>
      <c r="AM469" s="397"/>
      <c r="AN469" s="397"/>
      <c r="AO469" s="397"/>
      <c r="AP469" s="397"/>
      <c r="AQ469" s="397"/>
      <c r="AR469" s="397"/>
      <c r="AS469" s="397"/>
      <c r="AT469" s="397"/>
      <c r="AU469" s="397"/>
      <c r="AV469" s="397"/>
      <c r="AW469" s="397"/>
      <c r="AX469" s="397"/>
      <c r="AY469" s="397"/>
      <c r="AZ469" s="397"/>
      <c r="BA469" s="397"/>
      <c r="BB469" s="397"/>
      <c r="BC469" s="397"/>
    </row>
    <row r="470" spans="1:55" s="40" customFormat="1" ht="13.5" customHeight="1" x14ac:dyDescent="0.4">
      <c r="A470" s="50"/>
      <c r="B470" s="1040"/>
      <c r="C470" s="1040"/>
      <c r="D470" s="245"/>
      <c r="E470" s="246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761"/>
      <c r="X470" s="747"/>
      <c r="Y470" s="747"/>
      <c r="Z470" s="747"/>
      <c r="AA470" s="747"/>
      <c r="AB470" s="747"/>
      <c r="AC470" s="747"/>
      <c r="AD470" s="766"/>
      <c r="AE470" s="233"/>
      <c r="AF470" s="233"/>
      <c r="AG470" s="233"/>
      <c r="AH470" s="397"/>
      <c r="AI470" s="397"/>
      <c r="AJ470" s="397"/>
      <c r="AK470" s="397"/>
      <c r="AL470" s="397"/>
      <c r="AM470" s="397"/>
      <c r="AN470" s="397"/>
      <c r="AO470" s="397"/>
      <c r="AP470" s="397"/>
      <c r="AQ470" s="397"/>
      <c r="AR470" s="397"/>
      <c r="AS470" s="397"/>
      <c r="AT470" s="397"/>
      <c r="AU470" s="397"/>
      <c r="AV470" s="397"/>
      <c r="AW470" s="397"/>
      <c r="AX470" s="397"/>
      <c r="AY470" s="397"/>
      <c r="AZ470" s="397"/>
      <c r="BA470" s="397"/>
      <c r="BB470" s="397"/>
      <c r="BC470" s="397"/>
    </row>
    <row r="471" spans="1:55" s="253" customFormat="1" ht="27" customHeight="1" x14ac:dyDescent="0.4">
      <c r="A471" s="1044"/>
      <c r="B471" s="1044"/>
      <c r="C471" s="1044"/>
      <c r="E471" s="898" t="str">
        <f>$E$50</f>
        <v>SÖGULEG LOSUN</v>
      </c>
      <c r="F471" s="707"/>
      <c r="G471" s="707"/>
      <c r="H471" s="707"/>
      <c r="I471" s="707"/>
      <c r="J471" s="707"/>
      <c r="K471" s="707"/>
      <c r="L471" s="707"/>
      <c r="M471" s="707"/>
      <c r="N471" s="707"/>
      <c r="O471" s="707"/>
      <c r="P471" s="707"/>
      <c r="Q471" s="707"/>
      <c r="R471" s="707"/>
      <c r="S471" s="707"/>
      <c r="T471" s="707"/>
      <c r="U471" s="707"/>
      <c r="V471" s="707"/>
      <c r="W471" s="707"/>
      <c r="X471" s="707"/>
      <c r="Y471" s="707"/>
      <c r="Z471" s="707"/>
      <c r="AA471" s="707"/>
      <c r="AB471" s="707"/>
      <c r="AC471" s="707"/>
      <c r="AD471" s="772"/>
      <c r="AG471" s="898" t="str">
        <f>$AG$50</f>
        <v>HISTORICAL EMISSIONS</v>
      </c>
      <c r="AH471" s="707"/>
      <c r="AI471" s="707"/>
      <c r="AJ471" s="707"/>
      <c r="AK471" s="707"/>
      <c r="AL471" s="707"/>
      <c r="AM471" s="707"/>
      <c r="AN471" s="707"/>
      <c r="AO471" s="707"/>
      <c r="AP471" s="707"/>
      <c r="AQ471" s="707"/>
      <c r="AR471" s="707"/>
      <c r="AS471" s="707"/>
      <c r="AT471" s="707"/>
      <c r="AU471" s="707"/>
      <c r="AV471" s="707"/>
      <c r="AW471" s="707"/>
      <c r="AX471" s="707"/>
      <c r="AY471" s="707"/>
      <c r="AZ471" s="707"/>
      <c r="BA471" s="707"/>
      <c r="BB471" s="707"/>
      <c r="BC471" s="707"/>
    </row>
    <row r="472" spans="1:55" s="40" customFormat="1" x14ac:dyDescent="0.4">
      <c r="A472" s="50"/>
      <c r="B472" s="1038"/>
      <c r="C472" s="1038"/>
      <c r="D472" s="245" t="s">
        <v>48</v>
      </c>
      <c r="F472" s="397"/>
      <c r="G472" s="397"/>
      <c r="H472" s="240"/>
      <c r="I472" s="397"/>
      <c r="J472" s="397"/>
      <c r="K472" s="397"/>
      <c r="L472" s="397"/>
      <c r="M472" s="397"/>
      <c r="N472" s="397"/>
      <c r="O472" s="397"/>
      <c r="P472" s="397"/>
      <c r="Q472" s="397"/>
      <c r="R472" s="397"/>
      <c r="S472" s="397"/>
      <c r="T472" s="397"/>
      <c r="U472" s="397"/>
      <c r="V472" s="397"/>
      <c r="W472" s="397"/>
      <c r="X472" s="397"/>
      <c r="Y472" s="397"/>
      <c r="Z472" s="397"/>
      <c r="AA472" s="397"/>
      <c r="AB472" s="397"/>
      <c r="AC472" s="397"/>
      <c r="AD472" s="762"/>
      <c r="AH472" s="397"/>
      <c r="AI472" s="397"/>
      <c r="AJ472" s="397"/>
      <c r="AK472" s="397"/>
      <c r="AL472" s="397"/>
      <c r="AM472" s="397"/>
      <c r="AN472" s="397"/>
      <c r="AO472" s="397"/>
      <c r="AP472" s="397"/>
      <c r="AQ472" s="397"/>
      <c r="AR472" s="397"/>
      <c r="AS472" s="397"/>
      <c r="AT472" s="397"/>
      <c r="AU472" s="397"/>
      <c r="AV472" s="397"/>
      <c r="AW472" s="397"/>
      <c r="AX472" s="397"/>
      <c r="AY472" s="397"/>
      <c r="AZ472" s="397"/>
      <c r="BA472" s="397"/>
      <c r="BB472" s="397"/>
      <c r="BC472" s="397"/>
    </row>
    <row r="473" spans="1:55" s="40" customFormat="1" x14ac:dyDescent="0.4">
      <c r="A473" s="50"/>
      <c r="B473" s="1038"/>
      <c r="C473" s="1038"/>
      <c r="D473" s="245" t="s">
        <v>48</v>
      </c>
      <c r="F473" s="397"/>
      <c r="G473" s="397"/>
      <c r="H473" s="240"/>
      <c r="I473" s="397"/>
      <c r="J473" s="397"/>
      <c r="K473" s="397"/>
      <c r="L473" s="397"/>
      <c r="M473" s="397"/>
      <c r="N473" s="773"/>
      <c r="O473" s="397"/>
      <c r="P473" s="397"/>
      <c r="Q473" s="397"/>
      <c r="R473" s="397"/>
      <c r="S473" s="397"/>
      <c r="T473" s="397"/>
      <c r="U473" s="397"/>
      <c r="V473" s="397"/>
      <c r="W473" s="397"/>
      <c r="X473" s="397"/>
      <c r="Y473" s="397"/>
      <c r="Z473" s="397"/>
      <c r="AA473" s="397"/>
      <c r="AB473" s="397"/>
      <c r="AC473" s="397"/>
      <c r="AD473" s="762"/>
      <c r="AH473" s="397"/>
      <c r="AI473" s="397"/>
      <c r="AJ473" s="397"/>
      <c r="AK473" s="397"/>
      <c r="AL473" s="397"/>
      <c r="AM473" s="397"/>
      <c r="AN473" s="397"/>
      <c r="AO473" s="397"/>
      <c r="AP473" s="397"/>
      <c r="AQ473" s="397"/>
      <c r="AR473" s="397"/>
      <c r="AS473" s="397"/>
      <c r="AT473" s="397"/>
      <c r="AU473" s="397"/>
      <c r="AV473" s="397"/>
      <c r="AW473" s="397"/>
      <c r="AX473" s="397"/>
      <c r="AY473" s="397"/>
      <c r="AZ473" s="397"/>
      <c r="BA473" s="397"/>
      <c r="BB473" s="397"/>
      <c r="BC473" s="397"/>
    </row>
    <row r="474" spans="1:55" s="40" customFormat="1" x14ac:dyDescent="0.4">
      <c r="A474" s="50"/>
      <c r="B474" s="1038"/>
      <c r="C474" s="1038"/>
      <c r="D474" s="245" t="s">
        <v>48</v>
      </c>
      <c r="F474" s="397"/>
      <c r="G474" s="397"/>
      <c r="H474" s="240"/>
      <c r="I474" s="397"/>
      <c r="J474" s="397"/>
      <c r="K474" s="397"/>
      <c r="L474" s="397"/>
      <c r="M474" s="397"/>
      <c r="N474" s="397"/>
      <c r="O474" s="397"/>
      <c r="P474" s="397"/>
      <c r="Q474" s="397"/>
      <c r="R474" s="397"/>
      <c r="S474" s="397"/>
      <c r="T474" s="397"/>
      <c r="U474" s="397"/>
      <c r="V474" s="397"/>
      <c r="W474" s="397"/>
      <c r="X474" s="397"/>
      <c r="Y474" s="397"/>
      <c r="Z474" s="397"/>
      <c r="AA474" s="397"/>
      <c r="AB474" s="397"/>
      <c r="AC474" s="397"/>
      <c r="AD474" s="762"/>
      <c r="AH474" s="397"/>
      <c r="AI474" s="397"/>
      <c r="AJ474" s="397"/>
      <c r="AK474" s="397"/>
      <c r="AL474" s="397"/>
      <c r="AM474" s="397"/>
      <c r="AN474" s="397"/>
      <c r="AO474" s="397"/>
      <c r="AP474" s="397"/>
      <c r="AQ474" s="397"/>
      <c r="AR474" s="397"/>
      <c r="AS474" s="397"/>
      <c r="AT474" s="397"/>
      <c r="AU474" s="397"/>
      <c r="AV474" s="397"/>
      <c r="AW474" s="397"/>
      <c r="AX474" s="397"/>
      <c r="AY474" s="397"/>
      <c r="AZ474" s="397"/>
      <c r="BA474" s="397"/>
      <c r="BB474" s="397"/>
      <c r="BC474" s="397"/>
    </row>
    <row r="475" spans="1:55" s="40" customFormat="1" x14ac:dyDescent="0.4">
      <c r="A475" s="50"/>
      <c r="B475" s="1038"/>
      <c r="C475" s="1038"/>
      <c r="D475" s="245" t="s">
        <v>48</v>
      </c>
      <c r="F475" s="397"/>
      <c r="G475" s="397"/>
      <c r="H475" s="240"/>
      <c r="I475" s="397"/>
      <c r="J475" s="397"/>
      <c r="K475" s="397"/>
      <c r="L475" s="397"/>
      <c r="M475" s="397"/>
      <c r="N475" s="397"/>
      <c r="O475" s="397"/>
      <c r="P475" s="397"/>
      <c r="Q475" s="397"/>
      <c r="R475" s="397"/>
      <c r="S475" s="397"/>
      <c r="T475" s="397"/>
      <c r="U475" s="397"/>
      <c r="V475" s="397"/>
      <c r="W475" s="397"/>
      <c r="X475" s="397"/>
      <c r="Y475" s="397"/>
      <c r="Z475" s="397"/>
      <c r="AA475" s="397"/>
      <c r="AB475" s="397"/>
      <c r="AC475" s="397"/>
      <c r="AD475" s="762"/>
      <c r="AH475" s="397"/>
      <c r="AI475" s="397"/>
      <c r="AJ475" s="397"/>
      <c r="AK475" s="397"/>
      <c r="AL475" s="397"/>
      <c r="AM475" s="397"/>
      <c r="AN475" s="397"/>
      <c r="AO475" s="397"/>
      <c r="AP475" s="397"/>
      <c r="AQ475" s="397"/>
      <c r="AR475" s="397"/>
      <c r="AS475" s="397"/>
      <c r="AT475" s="397"/>
      <c r="AU475" s="397"/>
      <c r="AV475" s="397"/>
      <c r="AW475" s="397"/>
      <c r="AX475" s="397"/>
      <c r="AY475" s="397"/>
      <c r="AZ475" s="397"/>
      <c r="BA475" s="397"/>
      <c r="BB475" s="397"/>
      <c r="BC475" s="397"/>
    </row>
    <row r="476" spans="1:55" s="40" customFormat="1" x14ac:dyDescent="0.4">
      <c r="A476" s="50"/>
      <c r="B476" s="1038"/>
      <c r="C476" s="1038"/>
      <c r="D476" s="245" t="s">
        <v>48</v>
      </c>
      <c r="F476" s="397"/>
      <c r="G476" s="397"/>
      <c r="H476" s="240"/>
      <c r="I476" s="397"/>
      <c r="J476" s="397"/>
      <c r="K476" s="397"/>
      <c r="L476" s="397"/>
      <c r="M476" s="397"/>
      <c r="N476" s="397"/>
      <c r="O476" s="397"/>
      <c r="P476" s="397"/>
      <c r="Q476" s="397"/>
      <c r="R476" s="397"/>
      <c r="S476" s="397"/>
      <c r="T476" s="397"/>
      <c r="U476" s="397"/>
      <c r="V476" s="397"/>
      <c r="W476" s="397"/>
      <c r="X476" s="397"/>
      <c r="Y476" s="397"/>
      <c r="Z476" s="397"/>
      <c r="AA476" s="397"/>
      <c r="AB476" s="397"/>
      <c r="AC476" s="397"/>
      <c r="AD476" s="762"/>
      <c r="AH476" s="397"/>
      <c r="AI476" s="397"/>
      <c r="AJ476" s="397"/>
      <c r="AK476" s="397"/>
      <c r="AL476" s="397"/>
      <c r="AM476" s="397"/>
      <c r="AN476" s="397"/>
      <c r="AO476" s="397"/>
      <c r="AP476" s="397"/>
      <c r="AQ476" s="397"/>
      <c r="AR476" s="397"/>
      <c r="AS476" s="397"/>
      <c r="AT476" s="397"/>
      <c r="AU476" s="397"/>
      <c r="AV476" s="397"/>
      <c r="AW476" s="397"/>
      <c r="AX476" s="397"/>
      <c r="AY476" s="397"/>
      <c r="AZ476" s="397"/>
      <c r="BA476" s="397"/>
      <c r="BB476" s="397"/>
      <c r="BC476" s="397"/>
    </row>
    <row r="477" spans="1:55" s="40" customFormat="1" x14ac:dyDescent="0.4">
      <c r="A477" s="50"/>
      <c r="B477" s="1038"/>
      <c r="C477" s="1038"/>
      <c r="D477" s="245" t="s">
        <v>48</v>
      </c>
      <c r="F477" s="397"/>
      <c r="G477" s="397"/>
      <c r="H477" s="240"/>
      <c r="I477" s="397"/>
      <c r="J477" s="397"/>
      <c r="K477" s="397"/>
      <c r="L477" s="397"/>
      <c r="M477" s="397"/>
      <c r="N477" s="397"/>
      <c r="O477" s="397"/>
      <c r="P477" s="397"/>
      <c r="Q477" s="397"/>
      <c r="R477" s="397"/>
      <c r="S477" s="397"/>
      <c r="T477" s="397"/>
      <c r="U477" s="397"/>
      <c r="V477" s="397"/>
      <c r="W477" s="397"/>
      <c r="X477" s="397"/>
      <c r="Y477" s="397"/>
      <c r="Z477" s="397"/>
      <c r="AA477" s="397"/>
      <c r="AB477" s="397"/>
      <c r="AC477" s="397"/>
      <c r="AD477" s="762"/>
      <c r="AH477" s="397"/>
      <c r="AI477" s="397"/>
      <c r="AJ477" s="397"/>
      <c r="AK477" s="397"/>
      <c r="AL477" s="397"/>
      <c r="AM477" s="397"/>
      <c r="AN477" s="397"/>
      <c r="AO477" s="397"/>
      <c r="AP477" s="397"/>
      <c r="AQ477" s="397"/>
      <c r="AR477" s="397"/>
      <c r="AS477" s="397"/>
      <c r="AT477" s="397"/>
      <c r="AU477" s="397"/>
      <c r="AV477" s="397"/>
      <c r="AW477" s="397"/>
      <c r="AX477" s="397"/>
      <c r="AY477" s="397"/>
      <c r="AZ477" s="397"/>
      <c r="BA477" s="397"/>
      <c r="BB477" s="397"/>
      <c r="BC477" s="397"/>
    </row>
    <row r="478" spans="1:55" s="40" customFormat="1" x14ac:dyDescent="0.4">
      <c r="A478" s="50"/>
      <c r="B478" s="1038"/>
      <c r="C478" s="1038"/>
      <c r="D478" s="245" t="s">
        <v>48</v>
      </c>
      <c r="F478" s="397"/>
      <c r="G478" s="397"/>
      <c r="H478" s="240"/>
      <c r="I478" s="397"/>
      <c r="J478" s="397"/>
      <c r="K478" s="397"/>
      <c r="L478" s="397"/>
      <c r="M478" s="397"/>
      <c r="N478" s="397"/>
      <c r="O478" s="397"/>
      <c r="P478" s="397"/>
      <c r="Q478" s="397"/>
      <c r="R478" s="397"/>
      <c r="S478" s="397"/>
      <c r="T478" s="397"/>
      <c r="U478" s="397"/>
      <c r="V478" s="397"/>
      <c r="W478" s="397"/>
      <c r="X478" s="397"/>
      <c r="Y478" s="397"/>
      <c r="Z478" s="397"/>
      <c r="AA478" s="397"/>
      <c r="AB478" s="397"/>
      <c r="AC478" s="397"/>
      <c r="AD478" s="762"/>
      <c r="AH478" s="397"/>
      <c r="AI478" s="397"/>
      <c r="AJ478" s="397"/>
      <c r="AK478" s="397"/>
      <c r="AL478" s="397"/>
      <c r="AM478" s="397"/>
      <c r="AN478" s="397"/>
      <c r="AO478" s="397"/>
      <c r="AP478" s="397"/>
      <c r="AQ478" s="397"/>
      <c r="AR478" s="397"/>
      <c r="AS478" s="397"/>
      <c r="AT478" s="397"/>
      <c r="AU478" s="397"/>
      <c r="AV478" s="397"/>
      <c r="AW478" s="397"/>
      <c r="AX478" s="397"/>
      <c r="AY478" s="397"/>
      <c r="AZ478" s="397"/>
      <c r="BA478" s="397"/>
      <c r="BB478" s="397"/>
      <c r="BC478" s="397"/>
    </row>
    <row r="479" spans="1:55" s="40" customFormat="1" x14ac:dyDescent="0.4">
      <c r="A479" s="50"/>
      <c r="B479" s="1038"/>
      <c r="C479" s="1038"/>
      <c r="D479" s="245" t="s">
        <v>48</v>
      </c>
      <c r="F479" s="397"/>
      <c r="G479" s="397"/>
      <c r="H479" s="240"/>
      <c r="I479" s="397"/>
      <c r="J479" s="397"/>
      <c r="K479" s="397"/>
      <c r="L479" s="397"/>
      <c r="M479" s="397"/>
      <c r="N479" s="397"/>
      <c r="O479" s="397"/>
      <c r="P479" s="397"/>
      <c r="Q479" s="397"/>
      <c r="R479" s="397"/>
      <c r="S479" s="397"/>
      <c r="T479" s="397"/>
      <c r="U479" s="397"/>
      <c r="V479" s="397"/>
      <c r="W479" s="397"/>
      <c r="X479" s="397"/>
      <c r="Y479" s="397"/>
      <c r="Z479" s="397"/>
      <c r="AA479" s="397"/>
      <c r="AB479" s="397"/>
      <c r="AC479" s="397"/>
      <c r="AD479" s="762"/>
      <c r="AH479" s="397"/>
      <c r="AI479" s="397"/>
      <c r="AJ479" s="397"/>
      <c r="AK479" s="397"/>
      <c r="AL479" s="397"/>
      <c r="AM479" s="397"/>
      <c r="AN479" s="397"/>
      <c r="AO479" s="397"/>
      <c r="AP479" s="397"/>
      <c r="AQ479" s="397"/>
      <c r="AR479" s="397"/>
      <c r="AS479" s="397"/>
      <c r="AT479" s="397"/>
      <c r="AU479" s="397"/>
      <c r="AV479" s="397"/>
      <c r="AW479" s="397"/>
      <c r="AX479" s="397"/>
      <c r="AY479" s="397"/>
      <c r="AZ479" s="397"/>
      <c r="BA479" s="397"/>
      <c r="BB479" s="397"/>
      <c r="BC479" s="397"/>
    </row>
    <row r="480" spans="1:55" s="40" customFormat="1" x14ac:dyDescent="0.4">
      <c r="A480" s="50"/>
      <c r="B480" s="1038"/>
      <c r="C480" s="1038"/>
      <c r="D480" s="245" t="s">
        <v>48</v>
      </c>
      <c r="F480" s="397"/>
      <c r="G480" s="397"/>
      <c r="H480" s="240"/>
      <c r="I480" s="397"/>
      <c r="J480" s="397"/>
      <c r="K480" s="397"/>
      <c r="L480" s="397"/>
      <c r="M480" s="397"/>
      <c r="N480" s="397"/>
      <c r="O480" s="397"/>
      <c r="P480" s="397"/>
      <c r="Q480" s="397"/>
      <c r="R480" s="397"/>
      <c r="S480" s="397"/>
      <c r="T480" s="397"/>
      <c r="U480" s="397"/>
      <c r="V480" s="397"/>
      <c r="W480" s="397"/>
      <c r="X480" s="397"/>
      <c r="Y480" s="397"/>
      <c r="Z480" s="397"/>
      <c r="AA480" s="397"/>
      <c r="AB480" s="397"/>
      <c r="AC480" s="397"/>
      <c r="AD480" s="762"/>
      <c r="AH480" s="397"/>
      <c r="AI480" s="397"/>
      <c r="AJ480" s="397"/>
      <c r="AK480" s="397"/>
      <c r="AL480" s="397"/>
      <c r="AM480" s="397"/>
      <c r="AN480" s="397"/>
      <c r="AO480" s="397"/>
      <c r="AP480" s="397"/>
      <c r="AQ480" s="397"/>
      <c r="AR480" s="397"/>
      <c r="AS480" s="397"/>
      <c r="AT480" s="397"/>
      <c r="AU480" s="397"/>
      <c r="AV480" s="397"/>
      <c r="AW480" s="397"/>
      <c r="AX480" s="397"/>
      <c r="AY480" s="397"/>
      <c r="AZ480" s="397"/>
      <c r="BA480" s="397"/>
      <c r="BB480" s="397"/>
      <c r="BC480" s="397"/>
    </row>
    <row r="481" spans="1:55" s="40" customFormat="1" x14ac:dyDescent="0.4">
      <c r="A481" s="50"/>
      <c r="B481" s="1038"/>
      <c r="C481" s="1038"/>
      <c r="D481" s="245" t="s">
        <v>48</v>
      </c>
      <c r="F481" s="397"/>
      <c r="G481" s="397"/>
      <c r="H481" s="240"/>
      <c r="I481" s="397"/>
      <c r="J481" s="397"/>
      <c r="K481" s="397"/>
      <c r="L481" s="397"/>
      <c r="M481" s="397"/>
      <c r="N481" s="397"/>
      <c r="O481" s="397"/>
      <c r="P481" s="397"/>
      <c r="Q481" s="397"/>
      <c r="R481" s="397"/>
      <c r="S481" s="397"/>
      <c r="T481" s="397"/>
      <c r="U481" s="397"/>
      <c r="V481" s="397"/>
      <c r="W481" s="397"/>
      <c r="X481" s="397"/>
      <c r="Y481" s="397"/>
      <c r="Z481" s="397"/>
      <c r="AA481" s="397"/>
      <c r="AB481" s="397"/>
      <c r="AC481" s="397"/>
      <c r="AD481" s="762"/>
      <c r="AH481" s="397"/>
      <c r="AI481" s="397"/>
      <c r="AJ481" s="397"/>
      <c r="AK481" s="397"/>
      <c r="AL481" s="397"/>
      <c r="AM481" s="397"/>
      <c r="AN481" s="397"/>
      <c r="AO481" s="397"/>
      <c r="AP481" s="397"/>
      <c r="AQ481" s="397"/>
      <c r="AR481" s="397"/>
      <c r="AS481" s="397"/>
      <c r="AT481" s="397"/>
      <c r="AU481" s="397"/>
      <c r="AV481" s="397"/>
      <c r="AW481" s="397"/>
      <c r="AX481" s="397"/>
      <c r="AY481" s="397"/>
      <c r="AZ481" s="397"/>
      <c r="BA481" s="397"/>
      <c r="BB481" s="397"/>
      <c r="BC481" s="397"/>
    </row>
    <row r="482" spans="1:55" s="40" customFormat="1" x14ac:dyDescent="0.4">
      <c r="A482" s="50"/>
      <c r="B482" s="1038"/>
      <c r="C482" s="1038"/>
      <c r="D482" s="245" t="s">
        <v>48</v>
      </c>
      <c r="F482" s="397"/>
      <c r="G482" s="397"/>
      <c r="H482" s="240"/>
      <c r="I482" s="397"/>
      <c r="J482" s="397"/>
      <c r="K482" s="397"/>
      <c r="L482" s="397"/>
      <c r="M482" s="397"/>
      <c r="N482" s="397"/>
      <c r="O482" s="397"/>
      <c r="P482" s="397"/>
      <c r="Q482" s="397"/>
      <c r="R482" s="397"/>
      <c r="S482" s="397"/>
      <c r="T482" s="397"/>
      <c r="U482" s="397"/>
      <c r="V482" s="397"/>
      <c r="W482" s="397"/>
      <c r="X482" s="397"/>
      <c r="Y482" s="397"/>
      <c r="Z482" s="397"/>
      <c r="AA482" s="397"/>
      <c r="AB482" s="397"/>
      <c r="AC482" s="397"/>
      <c r="AD482" s="762"/>
      <c r="AH482" s="397"/>
      <c r="AI482" s="397"/>
      <c r="AJ482" s="397"/>
      <c r="AK482" s="397"/>
      <c r="AL482" s="397"/>
      <c r="AM482" s="397"/>
      <c r="AN482" s="397"/>
      <c r="AO482" s="397"/>
      <c r="AP482" s="397"/>
      <c r="AQ482" s="397"/>
      <c r="AR482" s="397"/>
      <c r="AS482" s="397"/>
      <c r="AT482" s="397"/>
      <c r="AU482" s="397"/>
      <c r="AV482" s="397"/>
      <c r="AW482" s="397"/>
      <c r="AX482" s="397"/>
      <c r="AY482" s="397"/>
      <c r="AZ482" s="397"/>
      <c r="BA482" s="397"/>
      <c r="BB482" s="397"/>
      <c r="BC482" s="397"/>
    </row>
    <row r="483" spans="1:55" s="40" customFormat="1" x14ac:dyDescent="0.4">
      <c r="A483" s="50"/>
      <c r="B483" s="1038"/>
      <c r="C483" s="1038"/>
      <c r="D483" s="245" t="s">
        <v>48</v>
      </c>
      <c r="F483" s="397"/>
      <c r="G483" s="397"/>
      <c r="H483" s="240"/>
      <c r="I483" s="397"/>
      <c r="J483" s="397"/>
      <c r="K483" s="397"/>
      <c r="L483" s="397"/>
      <c r="M483" s="397"/>
      <c r="N483" s="397"/>
      <c r="O483" s="397"/>
      <c r="P483" s="397"/>
      <c r="Q483" s="397"/>
      <c r="R483" s="397"/>
      <c r="S483" s="397"/>
      <c r="T483" s="397"/>
      <c r="U483" s="397"/>
      <c r="V483" s="397"/>
      <c r="W483" s="397"/>
      <c r="X483" s="397"/>
      <c r="Y483" s="397"/>
      <c r="Z483" s="397"/>
      <c r="AA483" s="397"/>
      <c r="AB483" s="397"/>
      <c r="AC483" s="397"/>
      <c r="AD483" s="762"/>
      <c r="AH483" s="397"/>
      <c r="AI483" s="397"/>
      <c r="AJ483" s="397"/>
      <c r="AK483" s="397"/>
      <c r="AL483" s="397"/>
      <c r="AM483" s="397"/>
      <c r="AN483" s="397"/>
      <c r="AO483" s="397"/>
      <c r="AP483" s="397"/>
      <c r="AQ483" s="397"/>
      <c r="AR483" s="397"/>
      <c r="AS483" s="397"/>
      <c r="AT483" s="397"/>
      <c r="AU483" s="397"/>
      <c r="AV483" s="397"/>
      <c r="AW483" s="397"/>
      <c r="AX483" s="397"/>
      <c r="AY483" s="397"/>
      <c r="AZ483" s="397"/>
      <c r="BA483" s="397"/>
      <c r="BB483" s="397"/>
      <c r="BC483" s="397"/>
    </row>
    <row r="484" spans="1:55" s="40" customFormat="1" ht="15" customHeight="1" x14ac:dyDescent="0.4">
      <c r="A484" s="50"/>
      <c r="B484" s="1038"/>
      <c r="C484" s="1038"/>
      <c r="D484" s="245" t="s">
        <v>48</v>
      </c>
      <c r="F484" s="397"/>
      <c r="G484" s="397"/>
      <c r="H484" s="240"/>
      <c r="I484" s="397"/>
      <c r="J484" s="397"/>
      <c r="K484" s="397"/>
      <c r="L484" s="397"/>
      <c r="M484" s="397"/>
      <c r="N484" s="397"/>
      <c r="O484" s="397"/>
      <c r="P484" s="397"/>
      <c r="Q484" s="397"/>
      <c r="R484" s="397"/>
      <c r="S484" s="397"/>
      <c r="T484" s="397"/>
      <c r="U484" s="397"/>
      <c r="V484" s="397"/>
      <c r="W484" s="397"/>
      <c r="X484" s="397"/>
      <c r="Y484" s="397"/>
      <c r="Z484" s="397"/>
      <c r="AA484" s="397"/>
      <c r="AB484" s="397"/>
      <c r="AC484" s="397"/>
      <c r="AD484" s="762"/>
      <c r="AH484" s="397"/>
      <c r="AI484" s="397"/>
      <c r="AJ484" s="397"/>
      <c r="AK484" s="397"/>
      <c r="AL484" s="397"/>
      <c r="AM484" s="397"/>
      <c r="AN484" s="397"/>
      <c r="AO484" s="397"/>
      <c r="AP484" s="397"/>
      <c r="AQ484" s="397"/>
      <c r="AR484" s="397"/>
      <c r="AS484" s="397"/>
      <c r="AT484" s="397"/>
      <c r="AU484" s="397"/>
      <c r="AV484" s="397"/>
      <c r="AW484" s="397"/>
      <c r="AX484" s="397"/>
      <c r="AY484" s="397"/>
      <c r="AZ484" s="397"/>
      <c r="BA484" s="397"/>
      <c r="BB484" s="397"/>
      <c r="BC484" s="397"/>
    </row>
    <row r="485" spans="1:55" s="40" customFormat="1" ht="15" customHeight="1" x14ac:dyDescent="0.4">
      <c r="A485" s="50"/>
      <c r="B485" s="1038"/>
      <c r="C485" s="1038"/>
      <c r="D485" s="245" t="s">
        <v>48</v>
      </c>
      <c r="F485" s="397"/>
      <c r="G485" s="397"/>
      <c r="H485" s="240"/>
      <c r="I485" s="397"/>
      <c r="J485" s="397"/>
      <c r="K485" s="397"/>
      <c r="L485" s="397"/>
      <c r="M485" s="397"/>
      <c r="N485" s="397"/>
      <c r="O485" s="397"/>
      <c r="P485" s="397"/>
      <c r="Q485" s="397"/>
      <c r="R485" s="397"/>
      <c r="S485" s="397"/>
      <c r="T485" s="397"/>
      <c r="U485" s="397"/>
      <c r="V485" s="397"/>
      <c r="W485" s="397"/>
      <c r="X485" s="397"/>
      <c r="Y485" s="397"/>
      <c r="Z485" s="397"/>
      <c r="AA485" s="397"/>
      <c r="AB485" s="397"/>
      <c r="AC485" s="397"/>
      <c r="AD485" s="762"/>
      <c r="AH485" s="397"/>
      <c r="AI485" s="397"/>
      <c r="AJ485" s="397"/>
      <c r="AK485" s="397"/>
      <c r="AL485" s="397"/>
      <c r="AM485" s="397"/>
      <c r="AN485" s="397"/>
      <c r="AO485" s="397"/>
      <c r="AP485" s="397"/>
      <c r="AQ485" s="397"/>
      <c r="AR485" s="397"/>
      <c r="AS485" s="397"/>
      <c r="AT485" s="397"/>
      <c r="AU485" s="397"/>
      <c r="AV485" s="397"/>
      <c r="AW485" s="397"/>
      <c r="AX485" s="397"/>
      <c r="AY485" s="397"/>
      <c r="AZ485" s="397"/>
      <c r="BA485" s="397"/>
      <c r="BB485" s="397"/>
      <c r="BC485" s="397"/>
    </row>
    <row r="486" spans="1:55" s="40" customFormat="1" ht="15" customHeight="1" x14ac:dyDescent="0.4">
      <c r="A486" s="50"/>
      <c r="B486" s="1038"/>
      <c r="C486" s="1038"/>
      <c r="D486" s="245" t="s">
        <v>48</v>
      </c>
      <c r="F486" s="397"/>
      <c r="G486" s="397"/>
      <c r="H486" s="240"/>
      <c r="I486" s="397"/>
      <c r="J486" s="397"/>
      <c r="K486" s="397"/>
      <c r="L486" s="397"/>
      <c r="M486" s="397"/>
      <c r="N486" s="397"/>
      <c r="O486" s="397"/>
      <c r="P486" s="397"/>
      <c r="Q486" s="397"/>
      <c r="R486" s="397"/>
      <c r="S486" s="397"/>
      <c r="T486" s="397"/>
      <c r="U486" s="397"/>
      <c r="V486" s="397"/>
      <c r="W486" s="397"/>
      <c r="X486" s="397"/>
      <c r="Y486" s="397"/>
      <c r="Z486" s="397"/>
      <c r="AA486" s="397"/>
      <c r="AB486" s="397"/>
      <c r="AC486" s="397"/>
      <c r="AD486" s="762"/>
      <c r="AH486" s="397"/>
      <c r="AI486" s="397"/>
      <c r="AJ486" s="397"/>
      <c r="AK486" s="397"/>
      <c r="AL486" s="397"/>
      <c r="AM486" s="397"/>
      <c r="AN486" s="397"/>
      <c r="AO486" s="397"/>
      <c r="AP486" s="397"/>
      <c r="AQ486" s="397"/>
      <c r="AR486" s="397"/>
      <c r="AS486" s="397"/>
      <c r="AT486" s="397"/>
      <c r="AU486" s="397"/>
      <c r="AV486" s="397"/>
      <c r="AW486" s="397"/>
      <c r="AX486" s="397"/>
      <c r="AY486" s="397"/>
      <c r="AZ486" s="397"/>
      <c r="BA486" s="397"/>
      <c r="BB486" s="397"/>
      <c r="BC486" s="397"/>
    </row>
    <row r="487" spans="1:55" s="40" customFormat="1" x14ac:dyDescent="0.4">
      <c r="A487" s="50"/>
      <c r="B487" s="1038"/>
      <c r="C487" s="1038"/>
      <c r="D487" s="245" t="s">
        <v>48</v>
      </c>
      <c r="F487" s="397"/>
      <c r="G487" s="397"/>
      <c r="H487" s="240"/>
      <c r="I487" s="397"/>
      <c r="J487" s="397"/>
      <c r="K487" s="397"/>
      <c r="L487" s="397"/>
      <c r="M487" s="397"/>
      <c r="N487" s="397"/>
      <c r="O487" s="397"/>
      <c r="P487" s="397"/>
      <c r="Q487" s="397"/>
      <c r="R487" s="397"/>
      <c r="S487" s="397"/>
      <c r="T487" s="397"/>
      <c r="U487" s="397"/>
      <c r="V487" s="397"/>
      <c r="W487" s="397"/>
      <c r="X487" s="397"/>
      <c r="Y487" s="397"/>
      <c r="Z487" s="397"/>
      <c r="AA487" s="397"/>
      <c r="AB487" s="397"/>
      <c r="AC487" s="397"/>
      <c r="AD487" s="762"/>
      <c r="AH487" s="397"/>
      <c r="AI487" s="397"/>
      <c r="AJ487" s="397"/>
      <c r="AK487" s="397"/>
      <c r="AL487" s="397"/>
      <c r="AM487" s="397"/>
      <c r="AN487" s="397"/>
      <c r="AO487" s="397"/>
      <c r="AP487" s="397"/>
      <c r="AQ487" s="397"/>
      <c r="AR487" s="397"/>
      <c r="AS487" s="397"/>
      <c r="AT487" s="397"/>
      <c r="AU487" s="397"/>
      <c r="AV487" s="397"/>
      <c r="AW487" s="397"/>
      <c r="AX487" s="397"/>
      <c r="AY487" s="397"/>
      <c r="AZ487" s="397"/>
      <c r="BA487" s="397"/>
      <c r="BB487" s="397"/>
      <c r="BC487" s="397"/>
    </row>
    <row r="488" spans="1:55" s="40" customFormat="1" x14ac:dyDescent="0.4">
      <c r="A488" s="50"/>
      <c r="B488" s="1038"/>
      <c r="C488" s="1038"/>
      <c r="D488" s="245" t="s">
        <v>48</v>
      </c>
      <c r="F488" s="397"/>
      <c r="G488" s="397"/>
      <c r="H488" s="240"/>
      <c r="I488" s="397"/>
      <c r="J488" s="397"/>
      <c r="K488" s="397"/>
      <c r="L488" s="397"/>
      <c r="M488" s="397"/>
      <c r="N488" s="397"/>
      <c r="O488" s="397"/>
      <c r="P488" s="397"/>
      <c r="Q488" s="397"/>
      <c r="R488" s="397"/>
      <c r="S488" s="397"/>
      <c r="T488" s="397"/>
      <c r="U488" s="397"/>
      <c r="V488" s="397"/>
      <c r="W488" s="397"/>
      <c r="X488" s="397"/>
      <c r="Y488" s="397"/>
      <c r="Z488" s="397"/>
      <c r="AA488" s="397"/>
      <c r="AB488" s="397"/>
      <c r="AC488" s="397"/>
      <c r="AD488" s="762"/>
      <c r="AH488" s="397"/>
      <c r="AI488" s="397"/>
      <c r="AJ488" s="397"/>
      <c r="AK488" s="397"/>
      <c r="AL488" s="397"/>
      <c r="AM488" s="397"/>
      <c r="AN488" s="397"/>
      <c r="AO488" s="397"/>
      <c r="AP488" s="397"/>
      <c r="AQ488" s="397"/>
      <c r="AR488" s="397"/>
      <c r="AS488" s="397"/>
      <c r="AT488" s="397"/>
      <c r="AU488" s="397"/>
      <c r="AV488" s="397"/>
      <c r="AW488" s="397"/>
      <c r="AX488" s="397"/>
      <c r="AY488" s="397"/>
      <c r="AZ488" s="397"/>
      <c r="BA488" s="397"/>
      <c r="BB488" s="397"/>
      <c r="BC488" s="397"/>
    </row>
    <row r="489" spans="1:55" s="40" customFormat="1" x14ac:dyDescent="0.4">
      <c r="A489" s="50"/>
      <c r="B489" s="1038"/>
      <c r="C489" s="1038"/>
      <c r="D489" s="245" t="s">
        <v>48</v>
      </c>
      <c r="F489" s="397"/>
      <c r="G489" s="397"/>
      <c r="H489" s="240"/>
      <c r="I489" s="397"/>
      <c r="J489" s="397"/>
      <c r="K489" s="397"/>
      <c r="L489" s="397"/>
      <c r="M489" s="397"/>
      <c r="N489" s="397"/>
      <c r="O489" s="397"/>
      <c r="P489" s="397"/>
      <c r="Q489" s="397"/>
      <c r="R489" s="397"/>
      <c r="S489" s="397"/>
      <c r="T489" s="397"/>
      <c r="U489" s="397"/>
      <c r="V489" s="397"/>
      <c r="W489" s="397"/>
      <c r="X489" s="397"/>
      <c r="Y489" s="397"/>
      <c r="Z489" s="397"/>
      <c r="AA489" s="397"/>
      <c r="AB489" s="397"/>
      <c r="AC489" s="397"/>
      <c r="AD489" s="762"/>
      <c r="AH489" s="397"/>
      <c r="AI489" s="397"/>
      <c r="AJ489" s="397"/>
      <c r="AK489" s="397"/>
      <c r="AL489" s="397"/>
      <c r="AM489" s="397"/>
      <c r="AN489" s="397"/>
      <c r="AO489" s="397"/>
      <c r="AP489" s="397"/>
      <c r="AQ489" s="397"/>
      <c r="AR489" s="397"/>
      <c r="AS489" s="397"/>
      <c r="AT489" s="397"/>
      <c r="AU489" s="397"/>
      <c r="AV489" s="397"/>
      <c r="AW489" s="397"/>
      <c r="AX489" s="397"/>
      <c r="AY489" s="397"/>
      <c r="AZ489" s="397"/>
      <c r="BA489" s="397"/>
      <c r="BB489" s="397"/>
      <c r="BC489" s="397"/>
    </row>
    <row r="490" spans="1:55" s="40" customFormat="1" x14ac:dyDescent="0.4">
      <c r="A490" s="50"/>
      <c r="B490" s="1038"/>
      <c r="C490" s="1038"/>
      <c r="D490" s="245" t="s">
        <v>48</v>
      </c>
      <c r="F490" s="397"/>
      <c r="G490" s="397"/>
      <c r="H490" s="240"/>
      <c r="I490" s="397"/>
      <c r="J490" s="397"/>
      <c r="K490" s="397"/>
      <c r="L490" s="397"/>
      <c r="M490" s="397"/>
      <c r="N490" s="397"/>
      <c r="O490" s="397"/>
      <c r="P490" s="397"/>
      <c r="Q490" s="397"/>
      <c r="R490" s="397"/>
      <c r="S490" s="397"/>
      <c r="T490" s="397"/>
      <c r="U490" s="397"/>
      <c r="V490" s="397"/>
      <c r="W490" s="397"/>
      <c r="X490" s="397"/>
      <c r="Y490" s="397"/>
      <c r="Z490" s="397"/>
      <c r="AA490" s="397"/>
      <c r="AB490" s="397"/>
      <c r="AC490" s="397"/>
      <c r="AD490" s="762"/>
      <c r="AH490" s="397"/>
      <c r="AI490" s="397"/>
      <c r="AJ490" s="397"/>
      <c r="AK490" s="397"/>
      <c r="AL490" s="397"/>
      <c r="AM490" s="397"/>
      <c r="AN490" s="397"/>
      <c r="AO490" s="397"/>
      <c r="AP490" s="397"/>
      <c r="AQ490" s="397"/>
      <c r="AR490" s="397"/>
      <c r="AS490" s="397"/>
      <c r="AT490" s="397"/>
      <c r="AU490" s="397"/>
      <c r="AV490" s="397"/>
      <c r="AW490" s="397"/>
      <c r="AX490" s="397"/>
      <c r="AY490" s="397"/>
      <c r="AZ490" s="397"/>
      <c r="BA490" s="397"/>
      <c r="BB490" s="397"/>
      <c r="BC490" s="397"/>
    </row>
    <row r="491" spans="1:55" s="40" customFormat="1" x14ac:dyDescent="0.4">
      <c r="A491" s="50"/>
      <c r="B491" s="1038"/>
      <c r="C491" s="1038"/>
      <c r="D491" s="245" t="s">
        <v>48</v>
      </c>
      <c r="F491" s="397"/>
      <c r="G491" s="397"/>
      <c r="H491" s="240"/>
      <c r="I491" s="397"/>
      <c r="J491" s="397"/>
      <c r="K491" s="397"/>
      <c r="L491" s="397"/>
      <c r="M491" s="397"/>
      <c r="N491" s="397"/>
      <c r="O491" s="397"/>
      <c r="P491" s="397"/>
      <c r="Q491" s="397"/>
      <c r="R491" s="397"/>
      <c r="S491" s="397"/>
      <c r="T491" s="397"/>
      <c r="U491" s="397"/>
      <c r="V491" s="397"/>
      <c r="W491" s="397"/>
      <c r="X491" s="397"/>
      <c r="Y491" s="397"/>
      <c r="Z491" s="397"/>
      <c r="AA491" s="397"/>
      <c r="AB491" s="397"/>
      <c r="AC491" s="397"/>
      <c r="AD491" s="762"/>
      <c r="AH491" s="397"/>
      <c r="AI491" s="397"/>
      <c r="AJ491" s="397"/>
      <c r="AK491" s="397"/>
      <c r="AL491" s="397"/>
      <c r="AM491" s="397"/>
      <c r="AN491" s="397"/>
      <c r="AO491" s="397"/>
      <c r="AP491" s="397"/>
      <c r="AQ491" s="397"/>
      <c r="AR491" s="397"/>
      <c r="AS491" s="397"/>
      <c r="AT491" s="397"/>
      <c r="AU491" s="397"/>
      <c r="AV491" s="397"/>
      <c r="AW491" s="397"/>
      <c r="AX491" s="397"/>
      <c r="AY491" s="397"/>
      <c r="AZ491" s="397"/>
      <c r="BA491" s="397"/>
      <c r="BB491" s="397"/>
      <c r="BC491" s="397"/>
    </row>
    <row r="492" spans="1:55" s="40" customFormat="1" x14ac:dyDescent="0.4">
      <c r="A492" s="50"/>
      <c r="B492" s="1038"/>
      <c r="C492" s="1038"/>
      <c r="D492" s="245" t="s">
        <v>48</v>
      </c>
      <c r="F492" s="397"/>
      <c r="G492" s="397"/>
      <c r="H492" s="240"/>
      <c r="I492" s="397"/>
      <c r="J492" s="397"/>
      <c r="K492" s="397"/>
      <c r="L492" s="397"/>
      <c r="M492" s="397"/>
      <c r="N492" s="397"/>
      <c r="O492" s="397"/>
      <c r="P492" s="397"/>
      <c r="Q492" s="397"/>
      <c r="R492" s="397"/>
      <c r="S492" s="397"/>
      <c r="T492" s="397"/>
      <c r="U492" s="397"/>
      <c r="V492" s="397"/>
      <c r="W492" s="397"/>
      <c r="X492" s="397"/>
      <c r="Y492" s="397"/>
      <c r="Z492" s="397"/>
      <c r="AA492" s="397"/>
      <c r="AB492" s="397"/>
      <c r="AC492" s="397"/>
      <c r="AD492" s="762"/>
      <c r="AH492" s="397"/>
      <c r="AI492" s="397"/>
      <c r="AJ492" s="397"/>
      <c r="AK492" s="397"/>
      <c r="AL492" s="397"/>
      <c r="AM492" s="397"/>
      <c r="AN492" s="397"/>
      <c r="AO492" s="397"/>
      <c r="AP492" s="397"/>
      <c r="AQ492" s="397"/>
      <c r="AR492" s="397"/>
      <c r="AS492" s="397"/>
      <c r="AT492" s="397"/>
      <c r="AU492" s="397"/>
      <c r="AV492" s="397"/>
      <c r="AW492" s="397"/>
      <c r="AX492" s="397"/>
      <c r="AY492" s="397"/>
      <c r="AZ492" s="397"/>
      <c r="BA492" s="397"/>
      <c r="BB492" s="397"/>
      <c r="BC492" s="397"/>
    </row>
    <row r="493" spans="1:55" s="40" customFormat="1" x14ac:dyDescent="0.4">
      <c r="A493" s="50"/>
      <c r="B493" s="1038"/>
      <c r="C493" s="1038"/>
      <c r="D493" s="245" t="s">
        <v>48</v>
      </c>
      <c r="F493" s="397"/>
      <c r="G493" s="397"/>
      <c r="H493" s="240"/>
      <c r="I493" s="397"/>
      <c r="J493" s="397"/>
      <c r="K493" s="397"/>
      <c r="L493" s="397"/>
      <c r="M493" s="397"/>
      <c r="N493" s="397"/>
      <c r="O493" s="397"/>
      <c r="P493" s="397"/>
      <c r="Q493" s="397"/>
      <c r="R493" s="397"/>
      <c r="S493" s="397"/>
      <c r="T493" s="397"/>
      <c r="U493" s="397"/>
      <c r="V493" s="397"/>
      <c r="W493" s="397"/>
      <c r="X493" s="397"/>
      <c r="Y493" s="397"/>
      <c r="Z493" s="397"/>
      <c r="AA493" s="397"/>
      <c r="AB493" s="397"/>
      <c r="AC493" s="397"/>
      <c r="AD493" s="762"/>
      <c r="AH493" s="397"/>
      <c r="AI493" s="397"/>
      <c r="AJ493" s="397"/>
      <c r="AK493" s="397"/>
      <c r="AL493" s="397"/>
      <c r="AM493" s="397"/>
      <c r="AN493" s="397"/>
      <c r="AO493" s="397"/>
      <c r="AP493" s="397"/>
      <c r="AQ493" s="397"/>
      <c r="AR493" s="397"/>
      <c r="AS493" s="397"/>
      <c r="AT493" s="397"/>
      <c r="AU493" s="397"/>
      <c r="AV493" s="397"/>
      <c r="AW493" s="397"/>
      <c r="AX493" s="397"/>
      <c r="AY493" s="397"/>
      <c r="AZ493" s="397"/>
      <c r="BA493" s="397"/>
      <c r="BB493" s="397"/>
      <c r="BC493" s="397"/>
    </row>
    <row r="494" spans="1:55" s="40" customFormat="1" x14ac:dyDescent="0.4">
      <c r="A494" s="50"/>
      <c r="B494" s="1038"/>
      <c r="C494" s="1038"/>
      <c r="D494" s="245" t="s">
        <v>48</v>
      </c>
      <c r="F494" s="397"/>
      <c r="G494" s="397"/>
      <c r="H494" s="240"/>
      <c r="I494" s="397"/>
      <c r="J494" s="397"/>
      <c r="K494" s="397"/>
      <c r="L494" s="397"/>
      <c r="M494" s="397"/>
      <c r="N494" s="397"/>
      <c r="O494" s="397"/>
      <c r="P494" s="397"/>
      <c r="Q494" s="397"/>
      <c r="R494" s="397"/>
      <c r="S494" s="397"/>
      <c r="T494" s="397"/>
      <c r="U494" s="397"/>
      <c r="V494" s="397"/>
      <c r="W494" s="397"/>
      <c r="X494" s="397"/>
      <c r="Y494" s="397"/>
      <c r="Z494" s="397"/>
      <c r="AA494" s="397"/>
      <c r="AB494" s="397"/>
      <c r="AC494" s="397"/>
      <c r="AD494" s="762"/>
      <c r="AH494" s="397"/>
      <c r="AI494" s="397"/>
      <c r="AJ494" s="397"/>
      <c r="AK494" s="397"/>
      <c r="AL494" s="397"/>
      <c r="AM494" s="397"/>
      <c r="AN494" s="397"/>
      <c r="AO494" s="397"/>
      <c r="AP494" s="397"/>
      <c r="AQ494" s="397"/>
      <c r="AR494" s="397"/>
      <c r="AS494" s="397"/>
      <c r="AT494" s="397"/>
      <c r="AU494" s="397"/>
      <c r="AV494" s="397"/>
      <c r="AW494" s="397"/>
      <c r="AX494" s="397"/>
      <c r="AY494" s="397"/>
      <c r="AZ494" s="397"/>
      <c r="BA494" s="397"/>
      <c r="BB494" s="397"/>
      <c r="BC494" s="397"/>
    </row>
    <row r="495" spans="1:55" s="40" customFormat="1" x14ac:dyDescent="0.4">
      <c r="A495" s="50"/>
      <c r="B495" s="1038"/>
      <c r="C495" s="1038"/>
      <c r="D495" s="245"/>
      <c r="F495" s="397"/>
      <c r="G495" s="397"/>
      <c r="H495" s="240"/>
      <c r="I495" s="397"/>
      <c r="J495" s="397"/>
      <c r="K495" s="397"/>
      <c r="L495" s="397"/>
      <c r="M495" s="397"/>
      <c r="N495" s="397"/>
      <c r="O495" s="397"/>
      <c r="P495" s="397"/>
      <c r="Q495" s="397"/>
      <c r="R495" s="397"/>
      <c r="S495" s="397"/>
      <c r="T495" s="397"/>
      <c r="U495" s="397"/>
      <c r="V495" s="397"/>
      <c r="W495" s="397"/>
      <c r="X495" s="397"/>
      <c r="Y495" s="397"/>
      <c r="Z495" s="397"/>
      <c r="AA495" s="397"/>
      <c r="AB495" s="397"/>
      <c r="AC495" s="397"/>
      <c r="AD495" s="762"/>
      <c r="AH495" s="397"/>
      <c r="AI495" s="397"/>
      <c r="AJ495" s="397"/>
      <c r="AK495" s="397"/>
      <c r="AL495" s="397"/>
      <c r="AM495" s="397"/>
      <c r="AN495" s="397"/>
      <c r="AO495" s="397"/>
      <c r="AP495" s="397"/>
      <c r="AQ495" s="397"/>
      <c r="AR495" s="397"/>
      <c r="AS495" s="397"/>
      <c r="AT495" s="397"/>
      <c r="AU495" s="397"/>
      <c r="AV495" s="397"/>
      <c r="AW495" s="397"/>
      <c r="AX495" s="397"/>
      <c r="AY495" s="397"/>
      <c r="AZ495" s="397"/>
      <c r="BA495" s="397"/>
      <c r="BB495" s="397"/>
      <c r="BC495" s="397"/>
    </row>
    <row r="496" spans="1:55" s="40" customFormat="1" x14ac:dyDescent="0.4">
      <c r="A496" s="50"/>
      <c r="B496" s="1038"/>
      <c r="C496" s="1038"/>
      <c r="D496" s="245"/>
      <c r="F496" s="397"/>
      <c r="G496" s="397"/>
      <c r="H496" s="240"/>
      <c r="I496" s="397"/>
      <c r="J496" s="397"/>
      <c r="K496" s="397"/>
      <c r="L496" s="397"/>
      <c r="M496" s="397"/>
      <c r="N496" s="397"/>
      <c r="O496" s="397"/>
      <c r="P496" s="397"/>
      <c r="Q496" s="397"/>
      <c r="R496" s="397"/>
      <c r="S496" s="397"/>
      <c r="T496" s="397"/>
      <c r="U496" s="397"/>
      <c r="V496" s="397"/>
      <c r="W496" s="397"/>
      <c r="X496" s="397"/>
      <c r="Y496" s="397"/>
      <c r="Z496" s="397"/>
      <c r="AA496" s="397"/>
      <c r="AB496" s="397"/>
      <c r="AC496" s="397"/>
      <c r="AD496" s="762"/>
      <c r="AH496" s="397"/>
      <c r="AI496" s="397"/>
      <c r="AJ496" s="397"/>
      <c r="AK496" s="397"/>
      <c r="AL496" s="397"/>
      <c r="AM496" s="397"/>
      <c r="AN496" s="397"/>
      <c r="AO496" s="397"/>
      <c r="AP496" s="397"/>
      <c r="AQ496" s="397"/>
      <c r="AR496" s="397"/>
      <c r="AS496" s="397"/>
      <c r="AT496" s="397"/>
      <c r="AU496" s="397"/>
      <c r="AV496" s="397"/>
      <c r="AW496" s="397"/>
      <c r="AX496" s="397"/>
      <c r="AY496" s="397"/>
      <c r="AZ496" s="397"/>
      <c r="BA496" s="397"/>
      <c r="BB496" s="397"/>
      <c r="BC496" s="397"/>
    </row>
    <row r="497" spans="1:55" s="40" customFormat="1" x14ac:dyDescent="0.4">
      <c r="A497" s="50"/>
      <c r="B497" s="1038"/>
      <c r="C497" s="1038"/>
      <c r="D497" s="245"/>
      <c r="F497" s="397"/>
      <c r="G497" s="397"/>
      <c r="H497" s="240"/>
      <c r="I497" s="397"/>
      <c r="J497" s="397"/>
      <c r="K497" s="397"/>
      <c r="L497" s="397"/>
      <c r="M497" s="397"/>
      <c r="N497" s="397"/>
      <c r="O497" s="397"/>
      <c r="P497" s="397"/>
      <c r="Q497" s="397"/>
      <c r="R497" s="397"/>
      <c r="S497" s="397"/>
      <c r="T497" s="397"/>
      <c r="U497" s="397"/>
      <c r="V497" s="397"/>
      <c r="W497" s="397"/>
      <c r="X497" s="397"/>
      <c r="Y497" s="397"/>
      <c r="Z497" s="397"/>
      <c r="AA497" s="397"/>
      <c r="AB497" s="397"/>
      <c r="AC497" s="397"/>
      <c r="AD497" s="762"/>
      <c r="AH497" s="397"/>
      <c r="AI497" s="397"/>
      <c r="AJ497" s="397"/>
      <c r="AK497" s="397"/>
      <c r="AL497" s="397"/>
      <c r="AM497" s="397"/>
      <c r="AN497" s="397"/>
      <c r="AO497" s="397"/>
      <c r="AP497" s="397"/>
      <c r="AQ497" s="397"/>
      <c r="AR497" s="397"/>
      <c r="AS497" s="397"/>
      <c r="AT497" s="397"/>
      <c r="AU497" s="397"/>
      <c r="AV497" s="397"/>
      <c r="AW497" s="397"/>
      <c r="AX497" s="397"/>
      <c r="AY497" s="397"/>
      <c r="AZ497" s="397"/>
      <c r="BA497" s="397"/>
      <c r="BB497" s="397"/>
      <c r="BC497" s="397"/>
    </row>
    <row r="498" spans="1:55" s="40" customFormat="1" x14ac:dyDescent="0.4">
      <c r="A498" s="50"/>
      <c r="B498" s="1038"/>
      <c r="C498" s="1038"/>
      <c r="D498" s="245"/>
      <c r="F498" s="397"/>
      <c r="G498" s="397"/>
      <c r="H498" s="240"/>
      <c r="I498" s="397"/>
      <c r="J498" s="397"/>
      <c r="K498" s="397"/>
      <c r="L498" s="397"/>
      <c r="M498" s="397"/>
      <c r="N498" s="397"/>
      <c r="O498" s="397"/>
      <c r="P498" s="397"/>
      <c r="Q498" s="397"/>
      <c r="R498" s="397"/>
      <c r="S498" s="397"/>
      <c r="T498" s="397"/>
      <c r="U498" s="397"/>
      <c r="V498" s="397"/>
      <c r="W498" s="397"/>
      <c r="X498" s="397"/>
      <c r="Y498" s="397"/>
      <c r="Z498" s="397"/>
      <c r="AA498" s="397"/>
      <c r="AB498" s="397"/>
      <c r="AC498" s="397"/>
      <c r="AD498" s="762"/>
      <c r="AH498" s="397"/>
      <c r="AI498" s="397"/>
      <c r="AJ498" s="397"/>
      <c r="AK498" s="397"/>
      <c r="AL498" s="397"/>
      <c r="AM498" s="397"/>
      <c r="AN498" s="397"/>
      <c r="AO498" s="397"/>
      <c r="AP498" s="397"/>
      <c r="AQ498" s="397"/>
      <c r="AR498" s="397"/>
      <c r="AS498" s="397"/>
      <c r="AT498" s="397"/>
      <c r="AU498" s="397"/>
      <c r="AV498" s="397"/>
      <c r="AW498" s="397"/>
      <c r="AX498" s="397"/>
      <c r="AY498" s="397"/>
      <c r="AZ498" s="397"/>
      <c r="BA498" s="397"/>
      <c r="BB498" s="397"/>
      <c r="BC498" s="397"/>
    </row>
    <row r="499" spans="1:55" s="40" customFormat="1" x14ac:dyDescent="0.4">
      <c r="A499" s="50"/>
      <c r="B499" s="1038"/>
      <c r="C499" s="1038"/>
      <c r="D499" s="245"/>
      <c r="F499" s="397"/>
      <c r="G499" s="397"/>
      <c r="H499" s="240"/>
      <c r="I499" s="397"/>
      <c r="J499" s="397"/>
      <c r="K499" s="397"/>
      <c r="L499" s="397"/>
      <c r="M499" s="397"/>
      <c r="N499" s="397"/>
      <c r="O499" s="397"/>
      <c r="P499" s="397"/>
      <c r="Q499" s="397"/>
      <c r="R499" s="397"/>
      <c r="S499" s="397"/>
      <c r="T499" s="397"/>
      <c r="U499" s="397"/>
      <c r="V499" s="397"/>
      <c r="W499" s="397"/>
      <c r="X499" s="397"/>
      <c r="Y499" s="397"/>
      <c r="Z499" s="397"/>
      <c r="AA499" s="397"/>
      <c r="AB499" s="397"/>
      <c r="AC499" s="397"/>
      <c r="AD499" s="762"/>
      <c r="AH499" s="397"/>
      <c r="AI499" s="397"/>
      <c r="AJ499" s="397"/>
      <c r="AK499" s="397"/>
      <c r="AL499" s="397"/>
      <c r="AM499" s="397"/>
      <c r="AN499" s="397"/>
      <c r="AO499" s="397"/>
      <c r="AP499" s="397"/>
      <c r="AQ499" s="397"/>
      <c r="AR499" s="397"/>
      <c r="AS499" s="397"/>
      <c r="AT499" s="397"/>
      <c r="AU499" s="397"/>
      <c r="AV499" s="397"/>
      <c r="AW499" s="397"/>
      <c r="AX499" s="397"/>
      <c r="AY499" s="397"/>
      <c r="AZ499" s="397"/>
      <c r="BA499" s="397"/>
      <c r="BB499" s="397"/>
      <c r="BC499" s="397"/>
    </row>
    <row r="500" spans="1:55" s="40" customFormat="1" x14ac:dyDescent="0.4">
      <c r="A500" s="50"/>
      <c r="B500" s="1038"/>
      <c r="C500" s="1038"/>
      <c r="D500" s="245"/>
      <c r="F500" s="397"/>
      <c r="G500" s="397"/>
      <c r="H500" s="240"/>
      <c r="I500" s="397"/>
      <c r="J500" s="397"/>
      <c r="K500" s="397"/>
      <c r="L500" s="397"/>
      <c r="M500" s="397"/>
      <c r="N500" s="397"/>
      <c r="O500" s="397"/>
      <c r="P500" s="397"/>
      <c r="Q500" s="397"/>
      <c r="R500" s="397"/>
      <c r="S500" s="397"/>
      <c r="T500" s="397"/>
      <c r="U500" s="397"/>
      <c r="V500" s="397"/>
      <c r="W500" s="397"/>
      <c r="X500" s="397"/>
      <c r="Y500" s="397"/>
      <c r="Z500" s="397"/>
      <c r="AA500" s="397"/>
      <c r="AB500" s="397"/>
      <c r="AC500" s="397"/>
      <c r="AD500" s="762"/>
      <c r="AH500" s="397"/>
      <c r="AI500" s="397"/>
      <c r="AJ500" s="397"/>
      <c r="AK500" s="397"/>
      <c r="AL500" s="397"/>
      <c r="AM500" s="397"/>
      <c r="AN500" s="397"/>
      <c r="AO500" s="397"/>
      <c r="AP500" s="397"/>
      <c r="AQ500" s="397"/>
      <c r="AR500" s="397"/>
      <c r="AS500" s="397"/>
      <c r="AT500" s="397"/>
      <c r="AU500" s="397"/>
      <c r="AV500" s="397"/>
      <c r="AW500" s="397"/>
      <c r="AX500" s="397"/>
      <c r="AY500" s="397"/>
      <c r="AZ500" s="397"/>
      <c r="BA500" s="397"/>
      <c r="BB500" s="397"/>
      <c r="BC500" s="397"/>
    </row>
    <row r="501" spans="1:55" s="40" customFormat="1" x14ac:dyDescent="0.4">
      <c r="A501" s="50"/>
      <c r="B501" s="1038"/>
      <c r="C501" s="1038"/>
      <c r="D501" s="245"/>
      <c r="F501" s="397"/>
      <c r="G501" s="397"/>
      <c r="H501" s="240"/>
      <c r="I501" s="397"/>
      <c r="J501" s="397"/>
      <c r="K501" s="397"/>
      <c r="L501" s="397"/>
      <c r="M501" s="397"/>
      <c r="N501" s="397"/>
      <c r="O501" s="397"/>
      <c r="P501" s="397"/>
      <c r="Q501" s="397"/>
      <c r="R501" s="397"/>
      <c r="S501" s="397"/>
      <c r="T501" s="397"/>
      <c r="U501" s="397"/>
      <c r="V501" s="397"/>
      <c r="W501" s="397"/>
      <c r="X501" s="397"/>
      <c r="Y501" s="397"/>
      <c r="Z501" s="397"/>
      <c r="AA501" s="397"/>
      <c r="AB501" s="397"/>
      <c r="AC501" s="397"/>
      <c r="AD501" s="762"/>
      <c r="AH501" s="397"/>
      <c r="AI501" s="397"/>
      <c r="AJ501" s="397"/>
      <c r="AK501" s="397"/>
      <c r="AL501" s="397"/>
      <c r="AM501" s="397"/>
      <c r="AN501" s="397"/>
      <c r="AO501" s="397"/>
      <c r="AP501" s="397"/>
      <c r="AQ501" s="397"/>
      <c r="AR501" s="397"/>
      <c r="AS501" s="397"/>
      <c r="AT501" s="397"/>
      <c r="AU501" s="397"/>
      <c r="AV501" s="397"/>
      <c r="AW501" s="397"/>
      <c r="AX501" s="397"/>
      <c r="AY501" s="397"/>
      <c r="AZ501" s="397"/>
      <c r="BA501" s="397"/>
      <c r="BB501" s="397"/>
      <c r="BC501" s="397"/>
    </row>
    <row r="502" spans="1:55" s="40" customFormat="1" x14ac:dyDescent="0.4">
      <c r="A502" s="50"/>
      <c r="B502" s="1038"/>
      <c r="C502" s="1038"/>
      <c r="D502" s="245"/>
      <c r="F502" s="397"/>
      <c r="G502" s="397"/>
      <c r="H502" s="240"/>
      <c r="I502" s="397"/>
      <c r="J502" s="397"/>
      <c r="K502" s="397"/>
      <c r="L502" s="397"/>
      <c r="M502" s="397"/>
      <c r="N502" s="397"/>
      <c r="O502" s="397"/>
      <c r="P502" s="397"/>
      <c r="Q502" s="397"/>
      <c r="R502" s="397"/>
      <c r="S502" s="397"/>
      <c r="T502" s="397"/>
      <c r="U502" s="397"/>
      <c r="V502" s="397"/>
      <c r="W502" s="397"/>
      <c r="X502" s="397"/>
      <c r="Y502" s="397"/>
      <c r="Z502" s="397"/>
      <c r="AA502" s="397"/>
      <c r="AB502" s="397"/>
      <c r="AC502" s="397"/>
      <c r="AD502" s="762"/>
      <c r="AH502" s="397"/>
      <c r="AI502" s="397"/>
      <c r="AJ502" s="397"/>
      <c r="AK502" s="397"/>
      <c r="AL502" s="397"/>
      <c r="AM502" s="397"/>
      <c r="AN502" s="397"/>
      <c r="AO502" s="397"/>
      <c r="AP502" s="397"/>
      <c r="AQ502" s="397"/>
      <c r="AR502" s="397"/>
      <c r="AS502" s="397"/>
      <c r="AT502" s="397"/>
      <c r="AU502" s="397"/>
      <c r="AV502" s="397"/>
      <c r="AW502" s="397"/>
      <c r="AX502" s="397"/>
      <c r="AY502" s="397"/>
      <c r="AZ502" s="397"/>
      <c r="BA502" s="397"/>
      <c r="BB502" s="397"/>
      <c r="BC502" s="397"/>
    </row>
    <row r="503" spans="1:55" s="40" customFormat="1" x14ac:dyDescent="0.4">
      <c r="A503" s="50"/>
      <c r="B503" s="1038"/>
      <c r="C503" s="1038"/>
      <c r="D503" s="245"/>
      <c r="F503" s="397"/>
      <c r="G503" s="397"/>
      <c r="H503" s="240"/>
      <c r="I503" s="397"/>
      <c r="J503" s="397"/>
      <c r="K503" s="397"/>
      <c r="L503" s="397"/>
      <c r="M503" s="397"/>
      <c r="N503" s="397"/>
      <c r="O503" s="397"/>
      <c r="P503" s="397"/>
      <c r="Q503" s="397"/>
      <c r="R503" s="397"/>
      <c r="S503" s="397"/>
      <c r="T503" s="397"/>
      <c r="U503" s="397"/>
      <c r="V503" s="397"/>
      <c r="W503" s="397"/>
      <c r="X503" s="397"/>
      <c r="Y503" s="397"/>
      <c r="Z503" s="397"/>
      <c r="AA503" s="397"/>
      <c r="AB503" s="397"/>
      <c r="AC503" s="397"/>
      <c r="AD503" s="762"/>
      <c r="AH503" s="397"/>
      <c r="AI503" s="397"/>
      <c r="AJ503" s="397"/>
      <c r="AK503" s="397"/>
      <c r="AL503" s="397"/>
      <c r="AM503" s="397"/>
      <c r="AN503" s="397"/>
      <c r="AO503" s="397"/>
      <c r="AP503" s="397"/>
      <c r="AQ503" s="397"/>
      <c r="AR503" s="397"/>
      <c r="AS503" s="397"/>
      <c r="AT503" s="397"/>
      <c r="AU503" s="397"/>
      <c r="AV503" s="397"/>
      <c r="AW503" s="397"/>
      <c r="AX503" s="397"/>
      <c r="AY503" s="397"/>
      <c r="AZ503" s="397"/>
      <c r="BA503" s="397"/>
      <c r="BB503" s="397"/>
      <c r="BC503" s="397"/>
    </row>
    <row r="504" spans="1:55" s="40" customFormat="1" x14ac:dyDescent="0.4">
      <c r="A504" s="50"/>
      <c r="B504" s="1038"/>
      <c r="C504" s="1038"/>
      <c r="D504" s="245"/>
      <c r="F504" s="397"/>
      <c r="G504" s="397"/>
      <c r="H504" s="240"/>
      <c r="I504" s="397"/>
      <c r="J504" s="397"/>
      <c r="K504" s="397"/>
      <c r="L504" s="397"/>
      <c r="M504" s="397"/>
      <c r="N504" s="397"/>
      <c r="O504" s="397"/>
      <c r="P504" s="397"/>
      <c r="Q504" s="397"/>
      <c r="R504" s="397"/>
      <c r="S504" s="397"/>
      <c r="T504" s="397"/>
      <c r="U504" s="397"/>
      <c r="V504" s="397"/>
      <c r="W504" s="397"/>
      <c r="X504" s="397"/>
      <c r="Y504" s="397"/>
      <c r="Z504" s="397"/>
      <c r="AA504" s="397"/>
      <c r="AB504" s="397"/>
      <c r="AC504" s="397"/>
      <c r="AD504" s="762"/>
      <c r="AH504" s="397"/>
      <c r="AI504" s="397"/>
      <c r="AJ504" s="397"/>
      <c r="AK504" s="397"/>
      <c r="AL504" s="397"/>
      <c r="AM504" s="397"/>
      <c r="AN504" s="397"/>
      <c r="AO504" s="397"/>
      <c r="AP504" s="397"/>
      <c r="AQ504" s="397"/>
      <c r="AR504" s="397"/>
      <c r="AS504" s="397"/>
      <c r="AT504" s="397"/>
      <c r="AU504" s="397"/>
      <c r="AV504" s="397"/>
      <c r="AW504" s="397"/>
      <c r="AX504" s="397"/>
      <c r="AY504" s="397"/>
      <c r="AZ504" s="397"/>
      <c r="BA504" s="397"/>
      <c r="BB504" s="397"/>
      <c r="BC504" s="397"/>
    </row>
    <row r="505" spans="1:55" s="40" customFormat="1" x14ac:dyDescent="0.4">
      <c r="A505" s="50"/>
      <c r="B505" s="1038"/>
      <c r="C505" s="1038"/>
      <c r="D505" s="245"/>
      <c r="F505" s="397"/>
      <c r="G505" s="397"/>
      <c r="H505" s="240"/>
      <c r="I505" s="397"/>
      <c r="J505" s="397"/>
      <c r="K505" s="397"/>
      <c r="L505" s="397"/>
      <c r="M505" s="397"/>
      <c r="N505" s="397"/>
      <c r="O505" s="397"/>
      <c r="P505" s="397"/>
      <c r="Q505" s="397"/>
      <c r="R505" s="397"/>
      <c r="S505" s="397"/>
      <c r="T505" s="397"/>
      <c r="U505" s="397"/>
      <c r="V505" s="397"/>
      <c r="W505" s="397"/>
      <c r="X505" s="397"/>
      <c r="Y505" s="397"/>
      <c r="Z505" s="397"/>
      <c r="AA505" s="397"/>
      <c r="AB505" s="397"/>
      <c r="AC505" s="397"/>
      <c r="AD505" s="762"/>
      <c r="AH505" s="397"/>
      <c r="AI505" s="397"/>
      <c r="AJ505" s="397"/>
      <c r="AK505" s="397"/>
      <c r="AL505" s="397"/>
      <c r="AM505" s="397"/>
      <c r="AN505" s="397"/>
      <c r="AO505" s="397"/>
      <c r="AP505" s="397"/>
      <c r="AQ505" s="397"/>
      <c r="AR505" s="397"/>
      <c r="AS505" s="397"/>
      <c r="AT505" s="397"/>
      <c r="AU505" s="397"/>
      <c r="AV505" s="397"/>
      <c r="AW505" s="397"/>
      <c r="AX505" s="397"/>
      <c r="AY505" s="397"/>
      <c r="AZ505" s="397"/>
      <c r="BA505" s="397"/>
      <c r="BB505" s="397"/>
      <c r="BC505" s="397"/>
    </row>
    <row r="506" spans="1:55" s="40" customFormat="1" x14ac:dyDescent="0.4">
      <c r="A506" s="50"/>
      <c r="B506" s="1038"/>
      <c r="C506" s="1038"/>
      <c r="D506" s="245"/>
      <c r="F506" s="397"/>
      <c r="G506" s="397"/>
      <c r="H506" s="240"/>
      <c r="I506" s="397"/>
      <c r="J506" s="397"/>
      <c r="K506" s="397"/>
      <c r="L506" s="397"/>
      <c r="M506" s="397"/>
      <c r="N506" s="397"/>
      <c r="O506" s="397"/>
      <c r="P506" s="397"/>
      <c r="Q506" s="397"/>
      <c r="R506" s="397"/>
      <c r="S506" s="397"/>
      <c r="T506" s="397"/>
      <c r="U506" s="397"/>
      <c r="V506" s="397"/>
      <c r="W506" s="397"/>
      <c r="X506" s="397"/>
      <c r="Y506" s="397"/>
      <c r="Z506" s="397"/>
      <c r="AA506" s="397"/>
      <c r="AB506" s="397"/>
      <c r="AC506" s="397"/>
      <c r="AD506" s="762"/>
      <c r="AH506" s="397"/>
      <c r="AI506" s="397"/>
      <c r="AJ506" s="397"/>
      <c r="AK506" s="397"/>
      <c r="AL506" s="397"/>
      <c r="AM506" s="397"/>
      <c r="AN506" s="397"/>
      <c r="AO506" s="397"/>
      <c r="AP506" s="397"/>
      <c r="AQ506" s="397"/>
      <c r="AR506" s="397"/>
      <c r="AS506" s="397"/>
      <c r="AT506" s="397"/>
      <c r="AU506" s="397"/>
      <c r="AV506" s="397"/>
      <c r="AW506" s="397"/>
      <c r="AX506" s="397"/>
      <c r="AY506" s="397"/>
      <c r="AZ506" s="397"/>
      <c r="BA506" s="397"/>
      <c r="BB506" s="397"/>
      <c r="BC506" s="397"/>
    </row>
    <row r="507" spans="1:55" s="40" customFormat="1" x14ac:dyDescent="0.4">
      <c r="A507" s="50"/>
      <c r="B507" s="1038"/>
      <c r="C507" s="1038"/>
      <c r="D507" s="245"/>
      <c r="F507" s="397"/>
      <c r="G507" s="397"/>
      <c r="H507" s="240"/>
      <c r="I507" s="397"/>
      <c r="J507" s="397"/>
      <c r="K507" s="397"/>
      <c r="L507" s="397"/>
      <c r="M507" s="397"/>
      <c r="N507" s="397"/>
      <c r="O507" s="397"/>
      <c r="P507" s="397"/>
      <c r="Q507" s="397"/>
      <c r="R507" s="397"/>
      <c r="S507" s="397"/>
      <c r="T507" s="397"/>
      <c r="U507" s="397"/>
      <c r="V507" s="397"/>
      <c r="W507" s="397"/>
      <c r="X507" s="397"/>
      <c r="Y507" s="397"/>
      <c r="Z507" s="397"/>
      <c r="AA507" s="397"/>
      <c r="AB507" s="397"/>
      <c r="AC507" s="397"/>
      <c r="AD507" s="762"/>
      <c r="AH507" s="397"/>
      <c r="AI507" s="397"/>
      <c r="AJ507" s="397"/>
      <c r="AK507" s="397"/>
      <c r="AL507" s="397"/>
      <c r="AM507" s="397"/>
      <c r="AN507" s="397"/>
      <c r="AO507" s="397"/>
      <c r="AP507" s="397"/>
      <c r="AQ507" s="397"/>
      <c r="AR507" s="397"/>
      <c r="AS507" s="397"/>
      <c r="AT507" s="397"/>
      <c r="AU507" s="397"/>
      <c r="AV507" s="397"/>
      <c r="AW507" s="397"/>
      <c r="AX507" s="397"/>
      <c r="AY507" s="397"/>
      <c r="AZ507" s="397"/>
      <c r="BA507" s="397"/>
      <c r="BB507" s="397"/>
      <c r="BC507" s="397"/>
    </row>
    <row r="508" spans="1:55" s="40" customFormat="1" x14ac:dyDescent="0.4">
      <c r="A508" s="50"/>
      <c r="B508" s="1038"/>
      <c r="C508" s="1038"/>
      <c r="D508" s="245"/>
      <c r="F508" s="397"/>
      <c r="G508" s="397"/>
      <c r="H508" s="240"/>
      <c r="I508" s="397"/>
      <c r="J508" s="397"/>
      <c r="K508" s="397"/>
      <c r="L508" s="397"/>
      <c r="M508" s="397"/>
      <c r="N508" s="397"/>
      <c r="O508" s="397"/>
      <c r="P508" s="397"/>
      <c r="Q508" s="397"/>
      <c r="R508" s="397"/>
      <c r="S508" s="397"/>
      <c r="T508" s="397"/>
      <c r="U508" s="397"/>
      <c r="V508" s="397"/>
      <c r="W508" s="397"/>
      <c r="X508" s="397"/>
      <c r="Y508" s="397"/>
      <c r="Z508" s="397"/>
      <c r="AA508" s="397"/>
      <c r="AB508" s="397"/>
      <c r="AC508" s="397"/>
      <c r="AD508" s="762"/>
      <c r="AH508" s="397"/>
      <c r="AI508" s="397"/>
      <c r="AJ508" s="397"/>
      <c r="AK508" s="397"/>
      <c r="AL508" s="397"/>
      <c r="AM508" s="397"/>
      <c r="AN508" s="397"/>
      <c r="AO508" s="397"/>
      <c r="AP508" s="397"/>
      <c r="AQ508" s="397"/>
      <c r="AR508" s="397"/>
      <c r="AS508" s="397"/>
      <c r="AT508" s="397"/>
      <c r="AU508" s="397"/>
      <c r="AV508" s="397"/>
      <c r="AW508" s="397"/>
      <c r="AX508" s="397"/>
      <c r="AY508" s="397"/>
      <c r="AZ508" s="397"/>
      <c r="BA508" s="397"/>
      <c r="BB508" s="397"/>
      <c r="BC508" s="397"/>
    </row>
    <row r="509" spans="1:55" s="40" customFormat="1" x14ac:dyDescent="0.4">
      <c r="A509" s="50"/>
      <c r="B509" s="1038"/>
      <c r="C509" s="1038"/>
      <c r="D509" s="245"/>
      <c r="F509" s="397"/>
      <c r="G509" s="397"/>
      <c r="H509" s="240"/>
      <c r="I509" s="397"/>
      <c r="J509" s="397"/>
      <c r="K509" s="397"/>
      <c r="L509" s="397"/>
      <c r="M509" s="397"/>
      <c r="N509" s="397"/>
      <c r="O509" s="397"/>
      <c r="P509" s="397"/>
      <c r="Q509" s="397"/>
      <c r="R509" s="397"/>
      <c r="S509" s="397"/>
      <c r="T509" s="397"/>
      <c r="U509" s="397"/>
      <c r="V509" s="397"/>
      <c r="W509" s="397"/>
      <c r="X509" s="397"/>
      <c r="Y509" s="397"/>
      <c r="Z509" s="397"/>
      <c r="AA509" s="397"/>
      <c r="AB509" s="397"/>
      <c r="AC509" s="397"/>
      <c r="AD509" s="762"/>
      <c r="AH509" s="397"/>
      <c r="AI509" s="397"/>
      <c r="AJ509" s="397"/>
      <c r="AK509" s="397"/>
      <c r="AL509" s="397"/>
      <c r="AM509" s="397"/>
      <c r="AN509" s="397"/>
      <c r="AO509" s="397"/>
      <c r="AP509" s="397"/>
      <c r="AQ509" s="397"/>
      <c r="AR509" s="397"/>
      <c r="AS509" s="397"/>
      <c r="AT509" s="397"/>
      <c r="AU509" s="397"/>
      <c r="AV509" s="397"/>
      <c r="AW509" s="397"/>
      <c r="AX509" s="397"/>
      <c r="AY509" s="397"/>
      <c r="AZ509" s="397"/>
      <c r="BA509" s="397"/>
      <c r="BB509" s="397"/>
      <c r="BC509" s="397"/>
    </row>
    <row r="510" spans="1:55" s="40" customFormat="1" x14ac:dyDescent="0.4">
      <c r="A510" s="50"/>
      <c r="B510" s="1038"/>
      <c r="C510" s="1038"/>
      <c r="D510" s="245"/>
      <c r="F510" s="397"/>
      <c r="G510" s="397"/>
      <c r="H510" s="240"/>
      <c r="I510" s="397"/>
      <c r="J510" s="397"/>
      <c r="K510" s="397"/>
      <c r="L510" s="397"/>
      <c r="M510" s="397"/>
      <c r="N510" s="397"/>
      <c r="O510" s="397"/>
      <c r="P510" s="397"/>
      <c r="Q510" s="397"/>
      <c r="R510" s="397"/>
      <c r="S510" s="397"/>
      <c r="T510" s="397"/>
      <c r="U510" s="397"/>
      <c r="V510" s="397"/>
      <c r="W510" s="397"/>
      <c r="X510" s="397"/>
      <c r="Y510" s="397"/>
      <c r="Z510" s="397"/>
      <c r="AA510" s="397"/>
      <c r="AB510" s="397"/>
      <c r="AC510" s="397"/>
      <c r="AD510" s="762"/>
      <c r="AH510" s="397"/>
      <c r="AI510" s="397"/>
      <c r="AJ510" s="397"/>
      <c r="AK510" s="397"/>
      <c r="AL510" s="397"/>
      <c r="AM510" s="397"/>
      <c r="AN510" s="397"/>
      <c r="AO510" s="397"/>
      <c r="AP510" s="397"/>
      <c r="AQ510" s="397"/>
      <c r="AR510" s="397"/>
      <c r="AS510" s="397"/>
      <c r="AT510" s="397"/>
      <c r="AU510" s="397"/>
      <c r="AV510" s="397"/>
      <c r="AW510" s="397"/>
      <c r="AX510" s="397"/>
      <c r="AY510" s="397"/>
      <c r="AZ510" s="397"/>
      <c r="BA510" s="397"/>
      <c r="BB510" s="397"/>
      <c r="BC510" s="397"/>
    </row>
    <row r="511" spans="1:55" s="40" customFormat="1" x14ac:dyDescent="0.4">
      <c r="A511" s="50"/>
      <c r="B511" s="1038"/>
      <c r="C511" s="1038"/>
      <c r="D511" s="245"/>
      <c r="F511" s="397"/>
      <c r="G511" s="397"/>
      <c r="H511" s="240"/>
      <c r="I511" s="397"/>
      <c r="J511" s="397"/>
      <c r="K511" s="397"/>
      <c r="L511" s="397"/>
      <c r="M511" s="397"/>
      <c r="N511" s="397"/>
      <c r="O511" s="397"/>
      <c r="P511" s="397"/>
      <c r="Q511" s="397"/>
      <c r="R511" s="397"/>
      <c r="S511" s="397"/>
      <c r="T511" s="397"/>
      <c r="U511" s="397"/>
      <c r="V511" s="397"/>
      <c r="W511" s="397"/>
      <c r="X511" s="397"/>
      <c r="Y511" s="397"/>
      <c r="Z511" s="397"/>
      <c r="AA511" s="397"/>
      <c r="AB511" s="397"/>
      <c r="AC511" s="397"/>
      <c r="AD511" s="762"/>
      <c r="AH511" s="397"/>
      <c r="AI511" s="397"/>
      <c r="AJ511" s="397"/>
      <c r="AK511" s="397"/>
      <c r="AL511" s="397"/>
      <c r="AM511" s="397"/>
      <c r="AN511" s="397"/>
      <c r="AO511" s="397"/>
      <c r="AP511" s="397"/>
      <c r="AQ511" s="397"/>
      <c r="AR511" s="397"/>
      <c r="AS511" s="397"/>
      <c r="AT511" s="397"/>
      <c r="AU511" s="397"/>
      <c r="AV511" s="397"/>
      <c r="AW511" s="397"/>
      <c r="AX511" s="397"/>
      <c r="AY511" s="397"/>
      <c r="AZ511" s="397"/>
      <c r="BA511" s="397"/>
      <c r="BB511" s="397"/>
      <c r="BC511" s="397"/>
    </row>
    <row r="512" spans="1:55" s="40" customFormat="1" x14ac:dyDescent="0.4">
      <c r="A512" s="50"/>
      <c r="B512" s="1038"/>
      <c r="C512" s="1038"/>
      <c r="D512" s="245"/>
      <c r="F512" s="397"/>
      <c r="G512" s="397"/>
      <c r="H512" s="240"/>
      <c r="I512" s="397"/>
      <c r="J512" s="397"/>
      <c r="K512" s="397"/>
      <c r="L512" s="397"/>
      <c r="M512" s="397"/>
      <c r="N512" s="397"/>
      <c r="O512" s="397"/>
      <c r="P512" s="397"/>
      <c r="Q512" s="397"/>
      <c r="R512" s="397"/>
      <c r="S512" s="397"/>
      <c r="T512" s="397"/>
      <c r="U512" s="397"/>
      <c r="V512" s="397"/>
      <c r="W512" s="397"/>
      <c r="X512" s="397"/>
      <c r="Y512" s="397"/>
      <c r="Z512" s="397"/>
      <c r="AA512" s="397"/>
      <c r="AB512" s="397"/>
      <c r="AC512" s="397"/>
      <c r="AD512" s="762"/>
      <c r="AH512" s="397"/>
      <c r="AI512" s="397"/>
      <c r="AJ512" s="397"/>
      <c r="AK512" s="397"/>
      <c r="AL512" s="397"/>
      <c r="AM512" s="397"/>
      <c r="AN512" s="397"/>
      <c r="AO512" s="397"/>
      <c r="AP512" s="397"/>
      <c r="AQ512" s="397"/>
      <c r="AR512" s="397"/>
      <c r="AS512" s="397"/>
      <c r="AT512" s="397"/>
      <c r="AU512" s="397"/>
      <c r="AV512" s="397"/>
      <c r="AW512" s="397"/>
      <c r="AX512" s="397"/>
      <c r="AY512" s="397"/>
      <c r="AZ512" s="397"/>
      <c r="BA512" s="397"/>
      <c r="BB512" s="397"/>
      <c r="BC512" s="397"/>
    </row>
    <row r="513" spans="1:55" s="40" customFormat="1" x14ac:dyDescent="0.4">
      <c r="A513" s="50"/>
      <c r="B513" s="1038"/>
      <c r="C513" s="1038"/>
      <c r="D513" s="245"/>
      <c r="F513" s="397"/>
      <c r="G513" s="397"/>
      <c r="H513" s="240"/>
      <c r="I513" s="397"/>
      <c r="J513" s="397"/>
      <c r="K513" s="397"/>
      <c r="L513" s="397"/>
      <c r="M513" s="397"/>
      <c r="N513" s="397"/>
      <c r="O513" s="397"/>
      <c r="P513" s="397"/>
      <c r="Q513" s="397"/>
      <c r="R513" s="397"/>
      <c r="S513" s="397"/>
      <c r="T513" s="397"/>
      <c r="U513" s="397"/>
      <c r="V513" s="397"/>
      <c r="W513" s="397"/>
      <c r="X513" s="397"/>
      <c r="Y513" s="397"/>
      <c r="Z513" s="397"/>
      <c r="AA513" s="397"/>
      <c r="AB513" s="397"/>
      <c r="AC513" s="397"/>
      <c r="AD513" s="762"/>
      <c r="AH513" s="397"/>
      <c r="AI513" s="397"/>
      <c r="AJ513" s="397"/>
      <c r="AK513" s="397"/>
      <c r="AL513" s="397"/>
      <c r="AM513" s="397"/>
      <c r="AN513" s="397"/>
      <c r="AO513" s="397"/>
      <c r="AP513" s="397"/>
      <c r="AQ513" s="397"/>
      <c r="AR513" s="397"/>
      <c r="AS513" s="397"/>
      <c r="AT513" s="397"/>
      <c r="AU513" s="397"/>
      <c r="AV513" s="397"/>
      <c r="AW513" s="397"/>
      <c r="AX513" s="397"/>
      <c r="AY513" s="397"/>
      <c r="AZ513" s="397"/>
      <c r="BA513" s="397"/>
      <c r="BB513" s="397"/>
      <c r="BC513" s="397"/>
    </row>
    <row r="514" spans="1:55" s="40" customFormat="1" x14ac:dyDescent="0.4">
      <c r="A514" s="50"/>
      <c r="B514" s="1038"/>
      <c r="C514" s="1038"/>
      <c r="D514" s="245"/>
      <c r="F514" s="397"/>
      <c r="G514" s="397"/>
      <c r="H514" s="240"/>
      <c r="I514" s="397"/>
      <c r="J514" s="397"/>
      <c r="K514" s="397"/>
      <c r="L514" s="397"/>
      <c r="M514" s="397"/>
      <c r="N514" s="397"/>
      <c r="O514" s="397"/>
      <c r="P514" s="397"/>
      <c r="Q514" s="397"/>
      <c r="R514" s="397"/>
      <c r="S514" s="397"/>
      <c r="T514" s="397"/>
      <c r="U514" s="397"/>
      <c r="V514" s="397"/>
      <c r="W514" s="397"/>
      <c r="X514" s="397"/>
      <c r="Y514" s="397"/>
      <c r="Z514" s="397"/>
      <c r="AA514" s="397"/>
      <c r="AB514" s="397"/>
      <c r="AC514" s="397"/>
      <c r="AD514" s="762"/>
      <c r="AH514" s="397"/>
      <c r="AI514" s="397"/>
      <c r="AJ514" s="397"/>
      <c r="AK514" s="397"/>
      <c r="AL514" s="397"/>
      <c r="AM514" s="397"/>
      <c r="AN514" s="397"/>
      <c r="AO514" s="397"/>
      <c r="AP514" s="397"/>
      <c r="AQ514" s="397"/>
      <c r="AR514" s="397"/>
      <c r="AS514" s="397"/>
      <c r="AT514" s="397"/>
      <c r="AU514" s="397"/>
      <c r="AV514" s="397"/>
      <c r="AW514" s="397"/>
      <c r="AX514" s="397"/>
      <c r="AY514" s="397"/>
      <c r="AZ514" s="397"/>
      <c r="BA514" s="397"/>
      <c r="BB514" s="397"/>
      <c r="BC514" s="397"/>
    </row>
    <row r="515" spans="1:55" s="40" customFormat="1" x14ac:dyDescent="0.4">
      <c r="A515" s="50"/>
      <c r="B515" s="1038"/>
      <c r="C515" s="1038"/>
      <c r="D515" s="245"/>
      <c r="F515" s="397"/>
      <c r="G515" s="397"/>
      <c r="H515" s="240"/>
      <c r="I515" s="397"/>
      <c r="J515" s="397"/>
      <c r="K515" s="397"/>
      <c r="L515" s="397"/>
      <c r="M515" s="397"/>
      <c r="N515" s="397"/>
      <c r="O515" s="397"/>
      <c r="P515" s="397"/>
      <c r="Q515" s="397"/>
      <c r="R515" s="397"/>
      <c r="S515" s="397"/>
      <c r="T515" s="397"/>
      <c r="U515" s="397"/>
      <c r="V515" s="397"/>
      <c r="W515" s="397"/>
      <c r="X515" s="397"/>
      <c r="Y515" s="397"/>
      <c r="Z515" s="397"/>
      <c r="AA515" s="397"/>
      <c r="AB515" s="397"/>
      <c r="AC515" s="397"/>
      <c r="AD515" s="762"/>
      <c r="AH515" s="397"/>
      <c r="AI515" s="397"/>
      <c r="AJ515" s="397"/>
      <c r="AK515" s="397"/>
      <c r="AL515" s="397"/>
      <c r="AM515" s="397"/>
      <c r="AN515" s="397"/>
      <c r="AO515" s="397"/>
      <c r="AP515" s="397"/>
      <c r="AQ515" s="397"/>
      <c r="AR515" s="397"/>
      <c r="AS515" s="397"/>
      <c r="AT515" s="397"/>
      <c r="AU515" s="397"/>
      <c r="AV515" s="397"/>
      <c r="AW515" s="397"/>
      <c r="AX515" s="397"/>
      <c r="AY515" s="397"/>
      <c r="AZ515" s="397"/>
      <c r="BA515" s="397"/>
      <c r="BB515" s="397"/>
      <c r="BC515" s="397"/>
    </row>
    <row r="516" spans="1:55" s="40" customFormat="1" x14ac:dyDescent="0.4">
      <c r="A516" s="50"/>
      <c r="B516" s="1038"/>
      <c r="C516" s="1038"/>
      <c r="D516" s="245"/>
      <c r="F516" s="397"/>
      <c r="G516" s="397"/>
      <c r="H516" s="240"/>
      <c r="I516" s="397"/>
      <c r="J516" s="397"/>
      <c r="K516" s="397"/>
      <c r="L516" s="397"/>
      <c r="M516" s="397"/>
      <c r="N516" s="397"/>
      <c r="O516" s="397"/>
      <c r="P516" s="397"/>
      <c r="Q516" s="397"/>
      <c r="R516" s="397"/>
      <c r="S516" s="397"/>
      <c r="T516" s="397"/>
      <c r="U516" s="397"/>
      <c r="V516" s="397"/>
      <c r="W516" s="397"/>
      <c r="X516" s="397"/>
      <c r="Y516" s="397"/>
      <c r="Z516" s="397"/>
      <c r="AA516" s="397"/>
      <c r="AB516" s="397"/>
      <c r="AC516" s="397"/>
      <c r="AD516" s="762"/>
      <c r="AH516" s="397"/>
      <c r="AI516" s="397"/>
      <c r="AJ516" s="397"/>
      <c r="AK516" s="397"/>
      <c r="AL516" s="397"/>
      <c r="AM516" s="397"/>
      <c r="AN516" s="397"/>
      <c r="AO516" s="397"/>
      <c r="AP516" s="397"/>
      <c r="AQ516" s="397"/>
      <c r="AR516" s="397"/>
      <c r="AS516" s="397"/>
      <c r="AT516" s="397"/>
      <c r="AU516" s="397"/>
      <c r="AV516" s="397"/>
      <c r="AW516" s="397"/>
      <c r="AX516" s="397"/>
      <c r="AY516" s="397"/>
      <c r="AZ516" s="397"/>
      <c r="BA516" s="397"/>
      <c r="BB516" s="397"/>
      <c r="BC516" s="397"/>
    </row>
    <row r="517" spans="1:55" s="253" customFormat="1" ht="27" customHeight="1" x14ac:dyDescent="0.4">
      <c r="A517" s="1044"/>
      <c r="B517" s="1044"/>
      <c r="C517" s="1044"/>
      <c r="E517" s="898" t="str">
        <f>$E$211</f>
        <v>FRAMREIKNUÐ LOSUN</v>
      </c>
      <c r="F517" s="707"/>
      <c r="G517" s="707"/>
      <c r="H517" s="707"/>
      <c r="I517" s="707"/>
      <c r="J517" s="707"/>
      <c r="K517" s="707"/>
      <c r="L517" s="707"/>
      <c r="M517" s="707"/>
      <c r="N517" s="707"/>
      <c r="O517" s="707"/>
      <c r="P517" s="707"/>
      <c r="Q517" s="707"/>
      <c r="R517" s="707"/>
      <c r="S517" s="707"/>
      <c r="T517" s="707"/>
      <c r="U517" s="707"/>
      <c r="V517" s="707"/>
      <c r="W517" s="707"/>
      <c r="X517" s="707"/>
      <c r="Y517" s="707"/>
      <c r="Z517" s="707"/>
      <c r="AA517" s="707"/>
      <c r="AB517" s="707"/>
      <c r="AC517" s="707"/>
      <c r="AD517" s="772"/>
      <c r="AG517" s="898" t="str">
        <f>$AG$211</f>
        <v>EMISSION PROJECTIONS</v>
      </c>
      <c r="AH517" s="707"/>
      <c r="AI517" s="707"/>
      <c r="AJ517" s="707"/>
      <c r="AK517" s="707"/>
      <c r="AL517" s="707"/>
      <c r="AM517" s="707"/>
      <c r="AN517" s="707"/>
      <c r="AO517" s="707"/>
      <c r="AP517" s="707"/>
      <c r="AQ517" s="707"/>
      <c r="AR517" s="707"/>
      <c r="AS517" s="707"/>
      <c r="AT517" s="707"/>
      <c r="AU517" s="707"/>
      <c r="AV517" s="707"/>
      <c r="AW517" s="707"/>
      <c r="AX517" s="707"/>
      <c r="AY517" s="707"/>
      <c r="AZ517" s="707"/>
      <c r="BA517" s="707"/>
      <c r="BB517" s="707"/>
      <c r="BC517" s="707"/>
    </row>
    <row r="518" spans="1:55" s="40" customFormat="1" x14ac:dyDescent="0.4">
      <c r="A518" s="50"/>
      <c r="B518" s="1038"/>
      <c r="C518" s="1038"/>
      <c r="D518" s="245"/>
      <c r="F518" s="397"/>
      <c r="G518" s="397"/>
      <c r="H518" s="240"/>
      <c r="I518" s="397"/>
      <c r="J518" s="397"/>
      <c r="K518" s="397"/>
      <c r="L518" s="397"/>
      <c r="M518" s="397"/>
      <c r="N518" s="397"/>
      <c r="O518" s="397"/>
      <c r="P518" s="397"/>
      <c r="Q518" s="397"/>
      <c r="R518" s="397"/>
      <c r="S518" s="397"/>
      <c r="T518" s="397"/>
      <c r="U518" s="397"/>
      <c r="V518" s="397"/>
      <c r="W518" s="397"/>
      <c r="X518" s="397"/>
      <c r="Y518" s="397"/>
      <c r="Z518" s="397"/>
      <c r="AA518" s="397"/>
      <c r="AB518" s="397"/>
      <c r="AC518" s="397"/>
      <c r="AD518" s="762"/>
      <c r="AH518" s="397"/>
      <c r="AI518" s="397"/>
      <c r="AJ518" s="397"/>
      <c r="AK518" s="397"/>
      <c r="AL518" s="397"/>
      <c r="AM518" s="397"/>
      <c r="AN518" s="397"/>
      <c r="AO518" s="397"/>
      <c r="AP518" s="397"/>
      <c r="AQ518" s="397"/>
      <c r="AR518" s="397"/>
      <c r="AS518" s="397"/>
      <c r="AT518" s="397"/>
      <c r="AU518" s="397"/>
      <c r="AV518" s="397"/>
      <c r="AW518" s="397"/>
      <c r="AX518" s="397"/>
      <c r="AY518" s="397"/>
      <c r="AZ518" s="397"/>
      <c r="BA518" s="397"/>
      <c r="BB518" s="397"/>
      <c r="BC518" s="397"/>
    </row>
    <row r="519" spans="1:55" s="40" customFormat="1" x14ac:dyDescent="0.4">
      <c r="A519" s="50"/>
      <c r="B519" s="1038"/>
      <c r="C519" s="1038"/>
      <c r="D519" s="245"/>
      <c r="F519" s="397"/>
      <c r="G519" s="397"/>
      <c r="H519" s="240"/>
      <c r="I519" s="397"/>
      <c r="J519" s="397"/>
      <c r="K519" s="397"/>
      <c r="L519" s="397"/>
      <c r="M519" s="397"/>
      <c r="N519" s="397"/>
      <c r="O519" s="397"/>
      <c r="P519" s="397"/>
      <c r="Q519" s="397"/>
      <c r="R519" s="397"/>
      <c r="S519" s="397"/>
      <c r="T519" s="397"/>
      <c r="U519" s="397"/>
      <c r="V519" s="397"/>
      <c r="W519" s="397"/>
      <c r="X519" s="397"/>
      <c r="Y519" s="397"/>
      <c r="Z519" s="397"/>
      <c r="AA519" s="397"/>
      <c r="AB519" s="397"/>
      <c r="AC519" s="397"/>
      <c r="AD519" s="762"/>
      <c r="AH519" s="397"/>
      <c r="AI519" s="397"/>
      <c r="AJ519" s="397"/>
      <c r="AK519" s="397"/>
      <c r="AL519" s="397"/>
      <c r="AM519" s="397"/>
      <c r="AN519" s="397"/>
      <c r="AO519" s="397"/>
      <c r="AP519" s="397"/>
      <c r="AQ519" s="397"/>
      <c r="AR519" s="397"/>
      <c r="AS519" s="397"/>
      <c r="AT519" s="397"/>
      <c r="AU519" s="397"/>
      <c r="AV519" s="397"/>
      <c r="AW519" s="397"/>
      <c r="AX519" s="397"/>
      <c r="AY519" s="397"/>
      <c r="AZ519" s="397"/>
      <c r="BA519" s="397"/>
      <c r="BB519" s="397"/>
      <c r="BC519" s="397"/>
    </row>
    <row r="520" spans="1:55" s="40" customFormat="1" x14ac:dyDescent="0.4">
      <c r="A520" s="50"/>
      <c r="B520" s="1038"/>
      <c r="C520" s="1038"/>
      <c r="D520" s="245"/>
      <c r="F520" s="397"/>
      <c r="G520" s="397"/>
      <c r="H520" s="240"/>
      <c r="I520" s="397"/>
      <c r="J520" s="397"/>
      <c r="K520" s="397"/>
      <c r="L520" s="397"/>
      <c r="M520" s="397"/>
      <c r="N520" s="397"/>
      <c r="O520" s="397"/>
      <c r="P520" s="397"/>
      <c r="Q520" s="397"/>
      <c r="R520" s="397"/>
      <c r="S520" s="397"/>
      <c r="T520" s="397"/>
      <c r="U520" s="397"/>
      <c r="V520" s="397"/>
      <c r="W520" s="397"/>
      <c r="X520" s="397"/>
      <c r="Y520" s="397"/>
      <c r="Z520" s="397"/>
      <c r="AA520" s="397"/>
      <c r="AB520" s="397"/>
      <c r="AC520" s="397"/>
      <c r="AD520" s="762"/>
      <c r="AH520" s="397"/>
      <c r="AI520" s="397"/>
      <c r="AJ520" s="397"/>
      <c r="AK520" s="397"/>
      <c r="AL520" s="397"/>
      <c r="AM520" s="397"/>
      <c r="AN520" s="397"/>
      <c r="AO520" s="397"/>
      <c r="AP520" s="397"/>
      <c r="AQ520" s="397"/>
      <c r="AR520" s="397"/>
      <c r="AS520" s="397"/>
      <c r="AT520" s="397"/>
      <c r="AU520" s="397"/>
      <c r="AV520" s="397"/>
      <c r="AW520" s="397"/>
      <c r="AX520" s="397"/>
      <c r="AY520" s="397"/>
      <c r="AZ520" s="397"/>
      <c r="BA520" s="397"/>
      <c r="BB520" s="397"/>
      <c r="BC520" s="397"/>
    </row>
    <row r="521" spans="1:55" s="40" customFormat="1" x14ac:dyDescent="0.4">
      <c r="A521" s="50"/>
      <c r="B521" s="1038"/>
      <c r="C521" s="1038"/>
      <c r="D521" s="245"/>
      <c r="F521" s="397"/>
      <c r="G521" s="397"/>
      <c r="H521" s="240"/>
      <c r="I521" s="397"/>
      <c r="J521" s="397"/>
      <c r="K521" s="397"/>
      <c r="L521" s="397"/>
      <c r="M521" s="397"/>
      <c r="N521" s="397"/>
      <c r="O521" s="397"/>
      <c r="P521" s="397"/>
      <c r="Q521" s="397"/>
      <c r="R521" s="397"/>
      <c r="S521" s="397"/>
      <c r="T521" s="397"/>
      <c r="U521" s="397"/>
      <c r="V521" s="397"/>
      <c r="W521" s="397"/>
      <c r="X521" s="397"/>
      <c r="Y521" s="397"/>
      <c r="Z521" s="397"/>
      <c r="AA521" s="397"/>
      <c r="AB521" s="397"/>
      <c r="AC521" s="397"/>
      <c r="AD521" s="762"/>
      <c r="AH521" s="397"/>
      <c r="AI521" s="397"/>
      <c r="AJ521" s="397"/>
      <c r="AK521" s="397"/>
      <c r="AL521" s="397"/>
      <c r="AM521" s="397"/>
      <c r="AN521" s="397"/>
      <c r="AO521" s="397"/>
      <c r="AP521" s="397"/>
      <c r="AQ521" s="397"/>
      <c r="AR521" s="397"/>
      <c r="AS521" s="397"/>
      <c r="AT521" s="397"/>
      <c r="AU521" s="397"/>
      <c r="AV521" s="397"/>
      <c r="AW521" s="397"/>
      <c r="AX521" s="397"/>
      <c r="AY521" s="397"/>
      <c r="AZ521" s="397"/>
      <c r="BA521" s="397"/>
      <c r="BB521" s="397"/>
      <c r="BC521" s="397"/>
    </row>
    <row r="522" spans="1:55" s="40" customFormat="1" x14ac:dyDescent="0.4">
      <c r="A522" s="50"/>
      <c r="B522" s="1038"/>
      <c r="C522" s="1038"/>
      <c r="D522" s="245"/>
      <c r="F522" s="397"/>
      <c r="G522" s="397"/>
      <c r="H522" s="240"/>
      <c r="I522" s="397"/>
      <c r="J522" s="397"/>
      <c r="K522" s="397"/>
      <c r="L522" s="397"/>
      <c r="M522" s="397"/>
      <c r="N522" s="397"/>
      <c r="O522" s="397"/>
      <c r="P522" s="397"/>
      <c r="Q522" s="397"/>
      <c r="R522" s="397"/>
      <c r="S522" s="397"/>
      <c r="T522" s="397"/>
      <c r="U522" s="397"/>
      <c r="V522" s="397"/>
      <c r="W522" s="397"/>
      <c r="X522" s="397"/>
      <c r="Y522" s="397"/>
      <c r="Z522" s="397"/>
      <c r="AA522" s="397"/>
      <c r="AB522" s="397"/>
      <c r="AC522" s="397"/>
      <c r="AD522" s="762"/>
      <c r="AH522" s="397"/>
      <c r="AI522" s="397"/>
      <c r="AJ522" s="397"/>
      <c r="AK522" s="397"/>
      <c r="AL522" s="397"/>
      <c r="AM522" s="397"/>
      <c r="AN522" s="397"/>
      <c r="AO522" s="397"/>
      <c r="AP522" s="397"/>
      <c r="AQ522" s="397"/>
      <c r="AR522" s="397"/>
      <c r="AS522" s="397"/>
      <c r="AT522" s="397"/>
      <c r="AU522" s="397"/>
      <c r="AV522" s="397"/>
      <c r="AW522" s="397"/>
      <c r="AX522" s="397"/>
      <c r="AY522" s="397"/>
      <c r="AZ522" s="397"/>
      <c r="BA522" s="397"/>
      <c r="BB522" s="397"/>
      <c r="BC522" s="397"/>
    </row>
    <row r="523" spans="1:55" s="40" customFormat="1" x14ac:dyDescent="0.4">
      <c r="A523" s="50"/>
      <c r="B523" s="1038"/>
      <c r="C523" s="1038"/>
      <c r="D523" s="245"/>
      <c r="F523" s="397"/>
      <c r="G523" s="397"/>
      <c r="H523" s="240"/>
      <c r="I523" s="397"/>
      <c r="J523" s="397"/>
      <c r="K523" s="397"/>
      <c r="L523" s="397"/>
      <c r="M523" s="397"/>
      <c r="N523" s="397"/>
      <c r="O523" s="397"/>
      <c r="P523" s="397"/>
      <c r="Q523" s="397"/>
      <c r="R523" s="397"/>
      <c r="S523" s="397"/>
      <c r="T523" s="397"/>
      <c r="U523" s="397"/>
      <c r="V523" s="397"/>
      <c r="W523" s="397"/>
      <c r="X523" s="397"/>
      <c r="Y523" s="397"/>
      <c r="Z523" s="397"/>
      <c r="AA523" s="397"/>
      <c r="AB523" s="397"/>
      <c r="AC523" s="397"/>
      <c r="AD523" s="762"/>
      <c r="AH523" s="397"/>
      <c r="AI523" s="397"/>
      <c r="AJ523" s="397"/>
      <c r="AK523" s="397"/>
      <c r="AL523" s="397"/>
      <c r="AM523" s="397"/>
      <c r="AN523" s="397"/>
      <c r="AO523" s="397"/>
      <c r="AP523" s="397"/>
      <c r="AQ523" s="397"/>
      <c r="AR523" s="397"/>
      <c r="AS523" s="397"/>
      <c r="AT523" s="397"/>
      <c r="AU523" s="397"/>
      <c r="AV523" s="397"/>
      <c r="AW523" s="397"/>
      <c r="AX523" s="397"/>
      <c r="AY523" s="397"/>
      <c r="AZ523" s="397"/>
      <c r="BA523" s="397"/>
      <c r="BB523" s="397"/>
      <c r="BC523" s="397"/>
    </row>
    <row r="524" spans="1:55" s="40" customFormat="1" x14ac:dyDescent="0.4">
      <c r="A524" s="50"/>
      <c r="B524" s="1038"/>
      <c r="C524" s="1038"/>
      <c r="D524" s="245"/>
      <c r="F524" s="397"/>
      <c r="G524" s="397"/>
      <c r="H524" s="240"/>
      <c r="I524" s="397"/>
      <c r="J524" s="397"/>
      <c r="K524" s="397"/>
      <c r="L524" s="397"/>
      <c r="M524" s="397"/>
      <c r="N524" s="397"/>
      <c r="O524" s="397"/>
      <c r="P524" s="397"/>
      <c r="Q524" s="397"/>
      <c r="R524" s="397"/>
      <c r="S524" s="397"/>
      <c r="T524" s="397"/>
      <c r="U524" s="397"/>
      <c r="V524" s="397"/>
      <c r="W524" s="397"/>
      <c r="X524" s="397"/>
      <c r="Y524" s="397"/>
      <c r="Z524" s="397"/>
      <c r="AA524" s="397"/>
      <c r="AB524" s="397"/>
      <c r="AC524" s="397"/>
      <c r="AD524" s="762"/>
      <c r="AH524" s="397"/>
      <c r="AI524" s="397"/>
      <c r="AJ524" s="397"/>
      <c r="AK524" s="397"/>
      <c r="AL524" s="397"/>
      <c r="AM524" s="397"/>
      <c r="AN524" s="397"/>
      <c r="AO524" s="397"/>
      <c r="AP524" s="397"/>
      <c r="AQ524" s="397"/>
      <c r="AR524" s="397"/>
      <c r="AS524" s="397"/>
      <c r="AT524" s="397"/>
      <c r="AU524" s="397"/>
      <c r="AV524" s="397"/>
      <c r="AW524" s="397"/>
      <c r="AX524" s="397"/>
      <c r="AY524" s="397"/>
      <c r="AZ524" s="397"/>
      <c r="BA524" s="397"/>
      <c r="BB524" s="397"/>
      <c r="BC524" s="397"/>
    </row>
    <row r="525" spans="1:55" s="40" customFormat="1" x14ac:dyDescent="0.4">
      <c r="A525" s="50"/>
      <c r="B525" s="1038"/>
      <c r="C525" s="1038"/>
      <c r="D525" s="245"/>
      <c r="F525" s="397"/>
      <c r="G525" s="397"/>
      <c r="H525" s="240"/>
      <c r="I525" s="397"/>
      <c r="J525" s="397"/>
      <c r="K525" s="397"/>
      <c r="L525" s="397"/>
      <c r="M525" s="397"/>
      <c r="N525" s="397"/>
      <c r="O525" s="397"/>
      <c r="P525" s="397"/>
      <c r="Q525" s="397"/>
      <c r="R525" s="397"/>
      <c r="S525" s="397"/>
      <c r="T525" s="397"/>
      <c r="U525" s="397"/>
      <c r="V525" s="397"/>
      <c r="W525" s="397"/>
      <c r="X525" s="397"/>
      <c r="Y525" s="397"/>
      <c r="Z525" s="397"/>
      <c r="AA525" s="397"/>
      <c r="AB525" s="397"/>
      <c r="AC525" s="397"/>
      <c r="AD525" s="762"/>
      <c r="AH525" s="397"/>
      <c r="AI525" s="397"/>
      <c r="AJ525" s="397"/>
      <c r="AK525" s="397"/>
      <c r="AL525" s="397"/>
      <c r="AM525" s="397"/>
      <c r="AN525" s="397"/>
      <c r="AO525" s="397"/>
      <c r="AP525" s="397"/>
      <c r="AQ525" s="397"/>
      <c r="AR525" s="397"/>
      <c r="AS525" s="397"/>
      <c r="AT525" s="397"/>
      <c r="AU525" s="397"/>
      <c r="AV525" s="397"/>
      <c r="AW525" s="397"/>
      <c r="AX525" s="397"/>
      <c r="AY525" s="397"/>
      <c r="AZ525" s="397"/>
      <c r="BA525" s="397"/>
      <c r="BB525" s="397"/>
      <c r="BC525" s="397"/>
    </row>
    <row r="526" spans="1:55" s="40" customFormat="1" x14ac:dyDescent="0.4">
      <c r="A526" s="50"/>
      <c r="B526" s="1038"/>
      <c r="C526" s="1038"/>
      <c r="D526" s="245"/>
      <c r="F526" s="397"/>
      <c r="G526" s="397"/>
      <c r="H526" s="240"/>
      <c r="I526" s="397"/>
      <c r="J526" s="397"/>
      <c r="K526" s="397"/>
      <c r="L526" s="397"/>
      <c r="M526" s="397"/>
      <c r="N526" s="397"/>
      <c r="O526" s="397"/>
      <c r="P526" s="397"/>
      <c r="Q526" s="397"/>
      <c r="R526" s="397"/>
      <c r="S526" s="397"/>
      <c r="T526" s="397"/>
      <c r="U526" s="397"/>
      <c r="V526" s="397"/>
      <c r="W526" s="397"/>
      <c r="X526" s="397"/>
      <c r="Y526" s="397"/>
      <c r="Z526" s="397"/>
      <c r="AA526" s="397"/>
      <c r="AB526" s="397"/>
      <c r="AC526" s="397"/>
      <c r="AD526" s="762"/>
      <c r="AH526" s="397"/>
      <c r="AI526" s="397"/>
      <c r="AJ526" s="397"/>
      <c r="AK526" s="397"/>
      <c r="AL526" s="397"/>
      <c r="AM526" s="397"/>
      <c r="AN526" s="397"/>
      <c r="AO526" s="397"/>
      <c r="AP526" s="397"/>
      <c r="AQ526" s="397"/>
      <c r="AR526" s="397"/>
      <c r="AS526" s="397"/>
      <c r="AT526" s="397"/>
      <c r="AU526" s="397"/>
      <c r="AV526" s="397"/>
      <c r="AW526" s="397"/>
      <c r="AX526" s="397"/>
      <c r="AY526" s="397"/>
      <c r="AZ526" s="397"/>
      <c r="BA526" s="397"/>
      <c r="BB526" s="397"/>
      <c r="BC526" s="397"/>
    </row>
    <row r="527" spans="1:55" s="40" customFormat="1" x14ac:dyDescent="0.4">
      <c r="A527" s="50"/>
      <c r="B527" s="1038"/>
      <c r="C527" s="1038"/>
      <c r="D527" s="245"/>
      <c r="F527" s="397"/>
      <c r="G527" s="397"/>
      <c r="H527" s="240"/>
      <c r="I527" s="397"/>
      <c r="J527" s="397"/>
      <c r="K527" s="397"/>
      <c r="L527" s="397"/>
      <c r="M527" s="397"/>
      <c r="N527" s="397"/>
      <c r="O527" s="397"/>
      <c r="P527" s="397"/>
      <c r="Q527" s="397"/>
      <c r="R527" s="397"/>
      <c r="S527" s="397"/>
      <c r="T527" s="397"/>
      <c r="U527" s="397"/>
      <c r="V527" s="397"/>
      <c r="W527" s="397"/>
      <c r="X527" s="397"/>
      <c r="Y527" s="397"/>
      <c r="Z527" s="397"/>
      <c r="AA527" s="397"/>
      <c r="AB527" s="397"/>
      <c r="AC527" s="397"/>
      <c r="AD527" s="762"/>
      <c r="AH527" s="397"/>
      <c r="AI527" s="397"/>
      <c r="AJ527" s="397"/>
      <c r="AK527" s="397"/>
      <c r="AL527" s="397"/>
      <c r="AM527" s="397"/>
      <c r="AN527" s="397"/>
      <c r="AO527" s="397"/>
      <c r="AP527" s="397"/>
      <c r="AQ527" s="397"/>
      <c r="AR527" s="397"/>
      <c r="AS527" s="397"/>
      <c r="AT527" s="397"/>
      <c r="AU527" s="397"/>
      <c r="AV527" s="397"/>
      <c r="AW527" s="397"/>
      <c r="AX527" s="397"/>
      <c r="AY527" s="397"/>
      <c r="AZ527" s="397"/>
      <c r="BA527" s="397"/>
      <c r="BB527" s="397"/>
      <c r="BC527" s="397"/>
    </row>
    <row r="528" spans="1:55" s="40" customFormat="1" x14ac:dyDescent="0.4">
      <c r="A528" s="50"/>
      <c r="B528" s="1038"/>
      <c r="C528" s="1038"/>
      <c r="D528" s="245"/>
      <c r="F528" s="397"/>
      <c r="G528" s="397"/>
      <c r="H528" s="240"/>
      <c r="I528" s="397"/>
      <c r="J528" s="397"/>
      <c r="K528" s="397"/>
      <c r="L528" s="397"/>
      <c r="M528" s="397"/>
      <c r="N528" s="397"/>
      <c r="O528" s="397"/>
      <c r="P528" s="397"/>
      <c r="Q528" s="397"/>
      <c r="R528" s="397"/>
      <c r="S528" s="397"/>
      <c r="T528" s="397"/>
      <c r="U528" s="397"/>
      <c r="V528" s="397"/>
      <c r="W528" s="397"/>
      <c r="X528" s="397"/>
      <c r="Y528" s="397"/>
      <c r="Z528" s="397"/>
      <c r="AA528" s="397"/>
      <c r="AB528" s="397"/>
      <c r="AC528" s="397"/>
      <c r="AD528" s="762"/>
      <c r="AH528" s="397"/>
      <c r="AI528" s="397"/>
      <c r="AJ528" s="397"/>
      <c r="AK528" s="397"/>
      <c r="AL528" s="397"/>
      <c r="AM528" s="397"/>
      <c r="AN528" s="397"/>
      <c r="AO528" s="397"/>
      <c r="AP528" s="397"/>
      <c r="AQ528" s="397"/>
      <c r="AR528" s="397"/>
      <c r="AS528" s="397"/>
      <c r="AT528" s="397"/>
      <c r="AU528" s="397"/>
      <c r="AV528" s="397"/>
      <c r="AW528" s="397"/>
      <c r="AX528" s="397"/>
      <c r="AY528" s="397"/>
      <c r="AZ528" s="397"/>
      <c r="BA528" s="397"/>
      <c r="BB528" s="397"/>
      <c r="BC528" s="397"/>
    </row>
    <row r="529" spans="1:55" s="40" customFormat="1" x14ac:dyDescent="0.4">
      <c r="A529" s="50"/>
      <c r="B529" s="1038"/>
      <c r="C529" s="1038"/>
      <c r="D529" s="245"/>
      <c r="F529" s="397"/>
      <c r="G529" s="397"/>
      <c r="H529" s="240"/>
      <c r="I529" s="397"/>
      <c r="J529" s="397"/>
      <c r="K529" s="397"/>
      <c r="L529" s="397"/>
      <c r="M529" s="397"/>
      <c r="N529" s="397"/>
      <c r="O529" s="397"/>
      <c r="P529" s="397"/>
      <c r="Q529" s="397"/>
      <c r="R529" s="397"/>
      <c r="S529" s="397"/>
      <c r="T529" s="397"/>
      <c r="U529" s="397"/>
      <c r="V529" s="397"/>
      <c r="W529" s="397"/>
      <c r="X529" s="397"/>
      <c r="Y529" s="397"/>
      <c r="Z529" s="397"/>
      <c r="AA529" s="397"/>
      <c r="AB529" s="397"/>
      <c r="AC529" s="397"/>
      <c r="AD529" s="762"/>
      <c r="AH529" s="397"/>
      <c r="AI529" s="397"/>
      <c r="AJ529" s="397"/>
      <c r="AK529" s="397"/>
      <c r="AL529" s="397"/>
      <c r="AM529" s="397"/>
      <c r="AN529" s="397"/>
      <c r="AO529" s="397"/>
      <c r="AP529" s="397"/>
      <c r="AQ529" s="397"/>
      <c r="AR529" s="397"/>
      <c r="AS529" s="397"/>
      <c r="AT529" s="397"/>
      <c r="AU529" s="397"/>
      <c r="AV529" s="397"/>
      <c r="AW529" s="397"/>
      <c r="AX529" s="397"/>
      <c r="AY529" s="397"/>
      <c r="AZ529" s="397"/>
      <c r="BA529" s="397"/>
      <c r="BB529" s="397"/>
      <c r="BC529" s="397"/>
    </row>
    <row r="530" spans="1:55" s="40" customFormat="1" x14ac:dyDescent="0.4">
      <c r="A530" s="50"/>
      <c r="B530" s="1038"/>
      <c r="C530" s="1038"/>
      <c r="D530" s="245"/>
      <c r="F530" s="397"/>
      <c r="G530" s="397"/>
      <c r="H530" s="240"/>
      <c r="I530" s="397"/>
      <c r="J530" s="397"/>
      <c r="K530" s="397"/>
      <c r="L530" s="397"/>
      <c r="M530" s="397"/>
      <c r="N530" s="397"/>
      <c r="O530" s="397"/>
      <c r="P530" s="397"/>
      <c r="Q530" s="397"/>
      <c r="R530" s="397"/>
      <c r="S530" s="397"/>
      <c r="T530" s="397"/>
      <c r="U530" s="397"/>
      <c r="V530" s="397"/>
      <c r="W530" s="397"/>
      <c r="X530" s="397"/>
      <c r="Y530" s="397"/>
      <c r="Z530" s="397"/>
      <c r="AA530" s="397"/>
      <c r="AB530" s="397"/>
      <c r="AC530" s="397"/>
      <c r="AD530" s="762"/>
      <c r="AH530" s="397"/>
      <c r="AI530" s="397"/>
      <c r="AJ530" s="397"/>
      <c r="AK530" s="397"/>
      <c r="AL530" s="397"/>
      <c r="AM530" s="397"/>
      <c r="AN530" s="397"/>
      <c r="AO530" s="397"/>
      <c r="AP530" s="397"/>
      <c r="AQ530" s="397"/>
      <c r="AR530" s="397"/>
      <c r="AS530" s="397"/>
      <c r="AT530" s="397"/>
      <c r="AU530" s="397"/>
      <c r="AV530" s="397"/>
      <c r="AW530" s="397"/>
      <c r="AX530" s="397"/>
      <c r="AY530" s="397"/>
      <c r="AZ530" s="397"/>
      <c r="BA530" s="397"/>
      <c r="BB530" s="397"/>
      <c r="BC530" s="397"/>
    </row>
    <row r="531" spans="1:55" s="40" customFormat="1" x14ac:dyDescent="0.4">
      <c r="A531" s="50"/>
      <c r="B531" s="1038"/>
      <c r="C531" s="1038"/>
      <c r="D531" s="245"/>
      <c r="F531" s="397"/>
      <c r="G531" s="397"/>
      <c r="H531" s="240"/>
      <c r="I531" s="397"/>
      <c r="J531" s="397"/>
      <c r="K531" s="397"/>
      <c r="L531" s="397"/>
      <c r="M531" s="397"/>
      <c r="N531" s="397"/>
      <c r="O531" s="397"/>
      <c r="P531" s="397"/>
      <c r="Q531" s="397"/>
      <c r="R531" s="397"/>
      <c r="S531" s="397"/>
      <c r="T531" s="397"/>
      <c r="U531" s="397"/>
      <c r="V531" s="397"/>
      <c r="W531" s="397"/>
      <c r="X531" s="397"/>
      <c r="Y531" s="397"/>
      <c r="Z531" s="397"/>
      <c r="AA531" s="397"/>
      <c r="AB531" s="397"/>
      <c r="AC531" s="397"/>
      <c r="AD531" s="762"/>
      <c r="AH531" s="397"/>
      <c r="AI531" s="397"/>
      <c r="AJ531" s="397"/>
      <c r="AK531" s="397"/>
      <c r="AL531" s="397"/>
      <c r="AM531" s="397"/>
      <c r="AN531" s="397"/>
      <c r="AO531" s="397"/>
      <c r="AP531" s="397"/>
      <c r="AQ531" s="397"/>
      <c r="AR531" s="397"/>
      <c r="AS531" s="397"/>
      <c r="AT531" s="397"/>
      <c r="AU531" s="397"/>
      <c r="AV531" s="397"/>
      <c r="AW531" s="397"/>
      <c r="AX531" s="397"/>
      <c r="AY531" s="397"/>
      <c r="AZ531" s="397"/>
      <c r="BA531" s="397"/>
      <c r="BB531" s="397"/>
      <c r="BC531" s="397"/>
    </row>
    <row r="532" spans="1:55" s="40" customFormat="1" x14ac:dyDescent="0.4">
      <c r="A532" s="50"/>
      <c r="B532" s="1038"/>
      <c r="C532" s="1038"/>
      <c r="D532" s="245"/>
      <c r="F532" s="397"/>
      <c r="G532" s="397"/>
      <c r="H532" s="240"/>
      <c r="I532" s="397"/>
      <c r="J532" s="397"/>
      <c r="K532" s="397"/>
      <c r="L532" s="397"/>
      <c r="M532" s="397"/>
      <c r="N532" s="397"/>
      <c r="O532" s="397"/>
      <c r="P532" s="397"/>
      <c r="Q532" s="397"/>
      <c r="R532" s="397"/>
      <c r="S532" s="397"/>
      <c r="T532" s="397"/>
      <c r="U532" s="397"/>
      <c r="V532" s="397"/>
      <c r="W532" s="397"/>
      <c r="X532" s="397"/>
      <c r="Y532" s="397"/>
      <c r="Z532" s="397"/>
      <c r="AA532" s="397"/>
      <c r="AB532" s="397"/>
      <c r="AC532" s="397"/>
      <c r="AD532" s="762"/>
      <c r="AH532" s="397"/>
      <c r="AI532" s="397"/>
      <c r="AJ532" s="397"/>
      <c r="AK532" s="397"/>
      <c r="AL532" s="397"/>
      <c r="AM532" s="397"/>
      <c r="AN532" s="397"/>
      <c r="AO532" s="397"/>
      <c r="AP532" s="397"/>
      <c r="AQ532" s="397"/>
      <c r="AR532" s="397"/>
      <c r="AS532" s="397"/>
      <c r="AT532" s="397"/>
      <c r="AU532" s="397"/>
      <c r="AV532" s="397"/>
      <c r="AW532" s="397"/>
      <c r="AX532" s="397"/>
      <c r="AY532" s="397"/>
      <c r="AZ532" s="397"/>
      <c r="BA532" s="397"/>
      <c r="BB532" s="397"/>
      <c r="BC532" s="397"/>
    </row>
    <row r="533" spans="1:55" s="40" customFormat="1" x14ac:dyDescent="0.4">
      <c r="A533" s="50"/>
      <c r="B533" s="1038"/>
      <c r="C533" s="1038"/>
      <c r="D533" s="245"/>
      <c r="F533" s="397"/>
      <c r="G533" s="397"/>
      <c r="H533" s="240"/>
      <c r="I533" s="397"/>
      <c r="J533" s="397"/>
      <c r="K533" s="397"/>
      <c r="L533" s="397"/>
      <c r="M533" s="397"/>
      <c r="N533" s="397"/>
      <c r="O533" s="397"/>
      <c r="P533" s="397"/>
      <c r="Q533" s="397"/>
      <c r="R533" s="397"/>
      <c r="S533" s="397"/>
      <c r="T533" s="397"/>
      <c r="U533" s="397"/>
      <c r="V533" s="397"/>
      <c r="W533" s="397"/>
      <c r="X533" s="397"/>
      <c r="Y533" s="397"/>
      <c r="Z533" s="397"/>
      <c r="AA533" s="397"/>
      <c r="AB533" s="397"/>
      <c r="AC533" s="397"/>
      <c r="AD533" s="762"/>
      <c r="AH533" s="397"/>
      <c r="AI533" s="397"/>
      <c r="AJ533" s="397"/>
      <c r="AK533" s="397"/>
      <c r="AL533" s="397"/>
      <c r="AM533" s="397"/>
      <c r="AN533" s="397"/>
      <c r="AO533" s="397"/>
      <c r="AP533" s="397"/>
      <c r="AQ533" s="397"/>
      <c r="AR533" s="397"/>
      <c r="AS533" s="397"/>
      <c r="AT533" s="397"/>
      <c r="AU533" s="397"/>
      <c r="AV533" s="397"/>
      <c r="AW533" s="397"/>
      <c r="AX533" s="397"/>
      <c r="AY533" s="397"/>
      <c r="AZ533" s="397"/>
      <c r="BA533" s="397"/>
      <c r="BB533" s="397"/>
      <c r="BC533" s="397"/>
    </row>
    <row r="534" spans="1:55" s="40" customFormat="1" x14ac:dyDescent="0.4">
      <c r="A534" s="50"/>
      <c r="B534" s="1038"/>
      <c r="C534" s="1038"/>
      <c r="D534" s="245"/>
      <c r="F534" s="397"/>
      <c r="G534" s="397"/>
      <c r="H534" s="240"/>
      <c r="I534" s="397"/>
      <c r="J534" s="397"/>
      <c r="K534" s="397"/>
      <c r="L534" s="397"/>
      <c r="M534" s="397"/>
      <c r="N534" s="397"/>
      <c r="O534" s="397"/>
      <c r="P534" s="397"/>
      <c r="Q534" s="397"/>
      <c r="R534" s="397"/>
      <c r="S534" s="397"/>
      <c r="T534" s="397"/>
      <c r="U534" s="397"/>
      <c r="V534" s="397"/>
      <c r="W534" s="397"/>
      <c r="X534" s="397"/>
      <c r="Y534" s="397"/>
      <c r="Z534" s="397"/>
      <c r="AA534" s="397"/>
      <c r="AB534" s="397"/>
      <c r="AC534" s="397"/>
      <c r="AD534" s="762"/>
      <c r="AH534" s="397"/>
      <c r="AI534" s="397"/>
      <c r="AJ534" s="397"/>
      <c r="AK534" s="397"/>
      <c r="AL534" s="397"/>
      <c r="AM534" s="397"/>
      <c r="AN534" s="397"/>
      <c r="AO534" s="397"/>
      <c r="AP534" s="397"/>
      <c r="AQ534" s="397"/>
      <c r="AR534" s="397"/>
      <c r="AS534" s="397"/>
      <c r="AT534" s="397"/>
      <c r="AU534" s="397"/>
      <c r="AV534" s="397"/>
      <c r="AW534" s="397"/>
      <c r="AX534" s="397"/>
      <c r="AY534" s="397"/>
      <c r="AZ534" s="397"/>
      <c r="BA534" s="397"/>
      <c r="BB534" s="397"/>
      <c r="BC534" s="397"/>
    </row>
    <row r="535" spans="1:55" s="40" customFormat="1" x14ac:dyDescent="0.4">
      <c r="A535" s="50"/>
      <c r="B535" s="1038"/>
      <c r="C535" s="1038"/>
      <c r="D535" s="245"/>
      <c r="F535" s="397"/>
      <c r="G535" s="397"/>
      <c r="H535" s="240"/>
      <c r="I535" s="397"/>
      <c r="J535" s="397"/>
      <c r="K535" s="397"/>
      <c r="L535" s="397"/>
      <c r="M535" s="397"/>
      <c r="N535" s="397"/>
      <c r="O535" s="397"/>
      <c r="P535" s="397"/>
      <c r="Q535" s="397"/>
      <c r="R535" s="397"/>
      <c r="S535" s="397"/>
      <c r="T535" s="397"/>
      <c r="U535" s="397"/>
      <c r="V535" s="397"/>
      <c r="W535" s="397"/>
      <c r="X535" s="397"/>
      <c r="Y535" s="397"/>
      <c r="Z535" s="397"/>
      <c r="AA535" s="397"/>
      <c r="AB535" s="397"/>
      <c r="AC535" s="397"/>
      <c r="AD535" s="762"/>
      <c r="AH535" s="397"/>
      <c r="AI535" s="397"/>
      <c r="AJ535" s="397"/>
      <c r="AK535" s="397"/>
      <c r="AL535" s="397"/>
      <c r="AM535" s="397"/>
      <c r="AN535" s="397"/>
      <c r="AO535" s="397"/>
      <c r="AP535" s="397"/>
      <c r="AQ535" s="397"/>
      <c r="AR535" s="397"/>
      <c r="AS535" s="397"/>
      <c r="AT535" s="397"/>
      <c r="AU535" s="397"/>
      <c r="AV535" s="397"/>
      <c r="AW535" s="397"/>
      <c r="AX535" s="397"/>
      <c r="AY535" s="397"/>
      <c r="AZ535" s="397"/>
      <c r="BA535" s="397"/>
      <c r="BB535" s="397"/>
      <c r="BC535" s="397"/>
    </row>
    <row r="536" spans="1:55" s="40" customFormat="1" x14ac:dyDescent="0.4">
      <c r="A536" s="50"/>
      <c r="B536" s="1038"/>
      <c r="C536" s="1038"/>
      <c r="D536" s="245"/>
      <c r="F536" s="397"/>
      <c r="G536" s="397"/>
      <c r="H536" s="240"/>
      <c r="I536" s="397"/>
      <c r="J536" s="397"/>
      <c r="K536" s="397"/>
      <c r="L536" s="397"/>
      <c r="M536" s="397"/>
      <c r="N536" s="397"/>
      <c r="O536" s="397"/>
      <c r="P536" s="397"/>
      <c r="Q536" s="397"/>
      <c r="R536" s="397"/>
      <c r="S536" s="397"/>
      <c r="T536" s="397"/>
      <c r="U536" s="397"/>
      <c r="V536" s="397"/>
      <c r="W536" s="397"/>
      <c r="X536" s="397"/>
      <c r="Y536" s="397"/>
      <c r="Z536" s="397"/>
      <c r="AA536" s="397"/>
      <c r="AB536" s="397"/>
      <c r="AC536" s="397"/>
      <c r="AD536" s="762"/>
      <c r="AH536" s="397"/>
      <c r="AI536" s="397"/>
      <c r="AJ536" s="397"/>
      <c r="AK536" s="397"/>
      <c r="AL536" s="397"/>
      <c r="AM536" s="397"/>
      <c r="AN536" s="397"/>
      <c r="AO536" s="397"/>
      <c r="AP536" s="397"/>
      <c r="AQ536" s="397"/>
      <c r="AR536" s="397"/>
      <c r="AS536" s="397"/>
      <c r="AT536" s="397"/>
      <c r="AU536" s="397"/>
      <c r="AV536" s="397"/>
      <c r="AW536" s="397"/>
      <c r="AX536" s="397"/>
      <c r="AY536" s="397"/>
      <c r="AZ536" s="397"/>
      <c r="BA536" s="397"/>
      <c r="BB536" s="397"/>
      <c r="BC536" s="397"/>
    </row>
    <row r="537" spans="1:55" s="40" customFormat="1" x14ac:dyDescent="0.4">
      <c r="A537" s="50"/>
      <c r="B537" s="1038"/>
      <c r="C537" s="1038"/>
      <c r="D537" s="245"/>
      <c r="F537" s="397"/>
      <c r="G537" s="397"/>
      <c r="H537" s="240"/>
      <c r="I537" s="397"/>
      <c r="J537" s="397"/>
      <c r="K537" s="397"/>
      <c r="L537" s="397"/>
      <c r="M537" s="397"/>
      <c r="N537" s="397"/>
      <c r="O537" s="397"/>
      <c r="P537" s="397"/>
      <c r="Q537" s="397"/>
      <c r="R537" s="397"/>
      <c r="S537" s="397"/>
      <c r="T537" s="397"/>
      <c r="U537" s="397"/>
      <c r="V537" s="397"/>
      <c r="W537" s="397"/>
      <c r="X537" s="397"/>
      <c r="Y537" s="397"/>
      <c r="Z537" s="397"/>
      <c r="AA537" s="397"/>
      <c r="AB537" s="397"/>
      <c r="AC537" s="397"/>
      <c r="AD537" s="762"/>
      <c r="AH537" s="397"/>
      <c r="AI537" s="397"/>
      <c r="AJ537" s="397"/>
      <c r="AK537" s="397"/>
      <c r="AL537" s="397"/>
      <c r="AM537" s="397"/>
      <c r="AN537" s="397"/>
      <c r="AO537" s="397"/>
      <c r="AP537" s="397"/>
      <c r="AQ537" s="397"/>
      <c r="AR537" s="397"/>
      <c r="AS537" s="397"/>
      <c r="AT537" s="397"/>
      <c r="AU537" s="397"/>
      <c r="AV537" s="397"/>
      <c r="AW537" s="397"/>
      <c r="AX537" s="397"/>
      <c r="AY537" s="397"/>
      <c r="AZ537" s="397"/>
      <c r="BA537" s="397"/>
      <c r="BB537" s="397"/>
      <c r="BC537" s="397"/>
    </row>
    <row r="538" spans="1:55" s="40" customFormat="1" x14ac:dyDescent="0.4">
      <c r="A538" s="50"/>
      <c r="B538" s="1038"/>
      <c r="C538" s="1038"/>
      <c r="D538" s="245"/>
      <c r="F538" s="397"/>
      <c r="G538" s="397"/>
      <c r="H538" s="240"/>
      <c r="I538" s="397"/>
      <c r="J538" s="397"/>
      <c r="K538" s="397"/>
      <c r="L538" s="397"/>
      <c r="M538" s="397"/>
      <c r="N538" s="397"/>
      <c r="O538" s="397"/>
      <c r="P538" s="397"/>
      <c r="Q538" s="397"/>
      <c r="R538" s="397"/>
      <c r="S538" s="397"/>
      <c r="T538" s="397"/>
      <c r="U538" s="397"/>
      <c r="V538" s="397"/>
      <c r="W538" s="397"/>
      <c r="X538" s="397"/>
      <c r="Y538" s="397"/>
      <c r="Z538" s="397"/>
      <c r="AA538" s="397"/>
      <c r="AB538" s="397"/>
      <c r="AC538" s="397"/>
      <c r="AD538" s="762"/>
      <c r="AH538" s="397"/>
      <c r="AI538" s="397"/>
      <c r="AJ538" s="397"/>
      <c r="AK538" s="397"/>
      <c r="AL538" s="397"/>
      <c r="AM538" s="397"/>
      <c r="AN538" s="397"/>
      <c r="AO538" s="397"/>
      <c r="AP538" s="397"/>
      <c r="AQ538" s="397"/>
      <c r="AR538" s="397"/>
      <c r="AS538" s="397"/>
      <c r="AT538" s="397"/>
      <c r="AU538" s="397"/>
      <c r="AV538" s="397"/>
      <c r="AW538" s="397"/>
      <c r="AX538" s="397"/>
      <c r="AY538" s="397"/>
      <c r="AZ538" s="397"/>
      <c r="BA538" s="397"/>
      <c r="BB538" s="397"/>
      <c r="BC538" s="397"/>
    </row>
    <row r="539" spans="1:55" s="40" customFormat="1" x14ac:dyDescent="0.4">
      <c r="A539" s="50"/>
      <c r="B539" s="1038"/>
      <c r="C539" s="1038"/>
      <c r="D539" s="245"/>
      <c r="F539" s="397"/>
      <c r="G539" s="397"/>
      <c r="H539" s="240"/>
      <c r="I539" s="397"/>
      <c r="J539" s="397"/>
      <c r="K539" s="397"/>
      <c r="L539" s="397"/>
      <c r="M539" s="397"/>
      <c r="N539" s="397"/>
      <c r="O539" s="397"/>
      <c r="P539" s="397"/>
      <c r="Q539" s="397"/>
      <c r="R539" s="397"/>
      <c r="S539" s="397"/>
      <c r="T539" s="397"/>
      <c r="U539" s="397"/>
      <c r="V539" s="397"/>
      <c r="W539" s="397"/>
      <c r="X539" s="397"/>
      <c r="Y539" s="397"/>
      <c r="Z539" s="397"/>
      <c r="AA539" s="397"/>
      <c r="AB539" s="397"/>
      <c r="AC539" s="397"/>
      <c r="AD539" s="762"/>
      <c r="AH539" s="397"/>
      <c r="AI539" s="397"/>
      <c r="AJ539" s="397"/>
      <c r="AK539" s="397"/>
      <c r="AL539" s="397"/>
      <c r="AM539" s="397"/>
      <c r="AN539" s="397"/>
      <c r="AO539" s="397"/>
      <c r="AP539" s="397"/>
      <c r="AQ539" s="397"/>
      <c r="AR539" s="397"/>
      <c r="AS539" s="397"/>
      <c r="AT539" s="397"/>
      <c r="AU539" s="397"/>
      <c r="AV539" s="397"/>
      <c r="AW539" s="397"/>
      <c r="AX539" s="397"/>
      <c r="AY539" s="397"/>
      <c r="AZ539" s="397"/>
      <c r="BA539" s="397"/>
      <c r="BB539" s="397"/>
      <c r="BC539" s="397"/>
    </row>
    <row r="540" spans="1:55" s="40" customFormat="1" x14ac:dyDescent="0.4">
      <c r="A540" s="50"/>
      <c r="B540" s="1038"/>
      <c r="C540" s="1038"/>
      <c r="D540" s="245"/>
      <c r="F540" s="397"/>
      <c r="G540" s="397"/>
      <c r="H540" s="240"/>
      <c r="I540" s="397"/>
      <c r="J540" s="397"/>
      <c r="K540" s="397"/>
      <c r="L540" s="397"/>
      <c r="M540" s="397"/>
      <c r="N540" s="397"/>
      <c r="O540" s="397"/>
      <c r="P540" s="397"/>
      <c r="Q540" s="397"/>
      <c r="R540" s="397"/>
      <c r="S540" s="397"/>
      <c r="T540" s="397"/>
      <c r="U540" s="397"/>
      <c r="V540" s="397"/>
      <c r="W540" s="397"/>
      <c r="X540" s="397"/>
      <c r="Y540" s="397"/>
      <c r="Z540" s="397"/>
      <c r="AA540" s="397"/>
      <c r="AB540" s="397"/>
      <c r="AC540" s="397"/>
      <c r="AD540" s="762"/>
      <c r="AH540" s="397"/>
      <c r="AI540" s="397"/>
      <c r="AJ540" s="397"/>
      <c r="AK540" s="397"/>
      <c r="AL540" s="397"/>
      <c r="AM540" s="397"/>
      <c r="AN540" s="397"/>
      <c r="AO540" s="397"/>
      <c r="AP540" s="397"/>
      <c r="AQ540" s="397"/>
      <c r="AR540" s="397"/>
      <c r="AS540" s="397"/>
      <c r="AT540" s="397"/>
      <c r="AU540" s="397"/>
      <c r="AV540" s="397"/>
      <c r="AW540" s="397"/>
      <c r="AX540" s="397"/>
      <c r="AY540" s="397"/>
      <c r="AZ540" s="397"/>
      <c r="BA540" s="397"/>
      <c r="BB540" s="397"/>
      <c r="BC540" s="397"/>
    </row>
    <row r="541" spans="1:55" s="40" customFormat="1" x14ac:dyDescent="0.4">
      <c r="A541" s="50"/>
      <c r="B541" s="1038"/>
      <c r="C541" s="1038"/>
      <c r="D541" s="245"/>
      <c r="F541" s="397"/>
      <c r="G541" s="397"/>
      <c r="H541" s="240"/>
      <c r="I541" s="397"/>
      <c r="J541" s="397"/>
      <c r="K541" s="397"/>
      <c r="L541" s="397"/>
      <c r="M541" s="397"/>
      <c r="N541" s="397"/>
      <c r="O541" s="397"/>
      <c r="P541" s="397"/>
      <c r="Q541" s="397"/>
      <c r="R541" s="397"/>
      <c r="S541" s="397"/>
      <c r="T541" s="397"/>
      <c r="U541" s="397"/>
      <c r="V541" s="397"/>
      <c r="W541" s="397"/>
      <c r="X541" s="397"/>
      <c r="Y541" s="397"/>
      <c r="Z541" s="397"/>
      <c r="AA541" s="397"/>
      <c r="AB541" s="397"/>
      <c r="AC541" s="397"/>
      <c r="AD541" s="762"/>
      <c r="AH541" s="397"/>
      <c r="AI541" s="397"/>
      <c r="AJ541" s="397"/>
      <c r="AK541" s="397"/>
      <c r="AL541" s="397"/>
      <c r="AM541" s="397"/>
      <c r="AN541" s="397"/>
      <c r="AO541" s="397"/>
      <c r="AP541" s="397"/>
      <c r="AQ541" s="397"/>
      <c r="AR541" s="397"/>
      <c r="AS541" s="397"/>
      <c r="AT541" s="397"/>
      <c r="AU541" s="397"/>
      <c r="AV541" s="397"/>
      <c r="AW541" s="397"/>
      <c r="AX541" s="397"/>
      <c r="AY541" s="397"/>
      <c r="AZ541" s="397"/>
      <c r="BA541" s="397"/>
      <c r="BB541" s="397"/>
      <c r="BC541" s="397"/>
    </row>
    <row r="542" spans="1:55" s="40" customFormat="1" x14ac:dyDescent="0.4">
      <c r="A542" s="50"/>
      <c r="B542" s="1038"/>
      <c r="C542" s="1038"/>
      <c r="D542" s="245"/>
      <c r="F542" s="397"/>
      <c r="G542" s="397"/>
      <c r="H542" s="240"/>
      <c r="I542" s="397"/>
      <c r="J542" s="397"/>
      <c r="K542" s="397"/>
      <c r="L542" s="397"/>
      <c r="M542" s="397"/>
      <c r="N542" s="397"/>
      <c r="O542" s="397"/>
      <c r="P542" s="397"/>
      <c r="Q542" s="397"/>
      <c r="R542" s="397"/>
      <c r="S542" s="397"/>
      <c r="T542" s="397"/>
      <c r="U542" s="397"/>
      <c r="V542" s="397"/>
      <c r="W542" s="397"/>
      <c r="X542" s="397"/>
      <c r="Y542" s="397"/>
      <c r="Z542" s="397"/>
      <c r="AA542" s="397"/>
      <c r="AB542" s="397"/>
      <c r="AC542" s="397"/>
      <c r="AD542" s="762"/>
      <c r="AH542" s="397"/>
      <c r="AI542" s="397"/>
      <c r="AJ542" s="397"/>
      <c r="AK542" s="397"/>
      <c r="AL542" s="397"/>
      <c r="AM542" s="397"/>
      <c r="AN542" s="397"/>
      <c r="AO542" s="397"/>
      <c r="AP542" s="397"/>
      <c r="AQ542" s="397"/>
      <c r="AR542" s="397"/>
      <c r="AS542" s="397"/>
      <c r="AT542" s="397"/>
      <c r="AU542" s="397"/>
      <c r="AV542" s="397"/>
      <c r="AW542" s="397"/>
      <c r="AX542" s="397"/>
      <c r="AY542" s="397"/>
      <c r="AZ542" s="397"/>
      <c r="BA542" s="397"/>
      <c r="BB542" s="397"/>
      <c r="BC542" s="397"/>
    </row>
    <row r="543" spans="1:55" s="106" customFormat="1" ht="84" customHeight="1" x14ac:dyDescent="0.4">
      <c r="A543" s="1053"/>
      <c r="B543" s="1053"/>
      <c r="C543" s="1053"/>
      <c r="E543" s="1072" t="s">
        <v>250</v>
      </c>
      <c r="F543" s="199"/>
      <c r="G543" s="199"/>
      <c r="H543" s="199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  <c r="Y543" s="199"/>
      <c r="Z543" s="199"/>
      <c r="AA543" s="199"/>
      <c r="AB543" s="199"/>
      <c r="AC543" s="199"/>
      <c r="AD543" s="774"/>
      <c r="AG543" s="106" t="s">
        <v>174</v>
      </c>
      <c r="AH543" s="199"/>
      <c r="AI543" s="199"/>
      <c r="AJ543" s="199"/>
      <c r="AK543" s="199"/>
      <c r="AL543" s="199"/>
      <c r="AM543" s="199"/>
      <c r="AN543" s="199"/>
      <c r="AO543" s="199"/>
      <c r="AP543" s="199"/>
      <c r="AQ543" s="199"/>
      <c r="AR543" s="199"/>
      <c r="AS543" s="199"/>
      <c r="AT543" s="199"/>
      <c r="AU543" s="199"/>
      <c r="AV543" s="199"/>
      <c r="AW543" s="199"/>
      <c r="AX543" s="199"/>
      <c r="AY543" s="199"/>
      <c r="AZ543" s="199"/>
      <c r="BA543" s="199"/>
      <c r="BB543" s="199"/>
      <c r="BC543" s="199"/>
    </row>
    <row r="544" spans="1:55" s="40" customFormat="1" x14ac:dyDescent="0.4">
      <c r="A544" s="50"/>
      <c r="B544" s="1038"/>
      <c r="C544" s="1038"/>
      <c r="D544" s="245" t="s">
        <v>48</v>
      </c>
      <c r="F544" s="397"/>
      <c r="G544" s="397"/>
      <c r="H544" s="240"/>
      <c r="I544" s="397"/>
      <c r="J544" s="397"/>
      <c r="K544" s="397"/>
      <c r="L544" s="397"/>
      <c r="M544" s="397"/>
      <c r="N544" s="397"/>
      <c r="O544" s="397"/>
      <c r="P544" s="397"/>
      <c r="Q544" s="397"/>
      <c r="R544" s="397"/>
      <c r="S544" s="397"/>
      <c r="T544" s="397"/>
      <c r="U544" s="397"/>
      <c r="V544" s="397"/>
      <c r="W544" s="397"/>
      <c r="X544" s="397"/>
      <c r="Y544" s="397"/>
      <c r="Z544" s="397"/>
      <c r="AA544" s="397"/>
      <c r="AB544" s="397"/>
      <c r="AC544" s="397"/>
      <c r="AD544" s="762"/>
      <c r="AH544" s="397"/>
      <c r="AI544" s="397"/>
      <c r="AJ544" s="397"/>
      <c r="AK544" s="397"/>
      <c r="AL544" s="397"/>
      <c r="AM544" s="397"/>
      <c r="AN544" s="397"/>
      <c r="AO544" s="397"/>
      <c r="AP544" s="397"/>
      <c r="AQ544" s="397"/>
      <c r="AR544" s="397"/>
      <c r="AS544" s="397"/>
      <c r="AT544" s="397"/>
      <c r="AU544" s="397"/>
      <c r="AV544" s="397"/>
      <c r="AW544" s="397"/>
      <c r="AX544" s="397"/>
      <c r="AY544" s="397"/>
      <c r="AZ544" s="397"/>
      <c r="BA544" s="397"/>
      <c r="BB544" s="397"/>
      <c r="BC544" s="397"/>
    </row>
    <row r="545" spans="1:55" s="40" customFormat="1" ht="33" customHeight="1" x14ac:dyDescent="0.4">
      <c r="A545" s="50"/>
      <c r="B545" s="1038"/>
      <c r="C545" s="1038"/>
      <c r="D545" s="245"/>
      <c r="E545" s="1222" t="str">
        <f>"STAÐAN ÁRIÐ "&amp;$A$1</f>
        <v>STAÐAN ÁRIÐ 2024</v>
      </c>
      <c r="F545" s="900"/>
      <c r="G545" s="900"/>
      <c r="H545" s="900"/>
      <c r="I545" s="900"/>
      <c r="J545" s="900"/>
      <c r="K545" s="900"/>
      <c r="L545" s="900"/>
      <c r="M545" s="900"/>
      <c r="N545" s="240"/>
      <c r="O545" s="1222" t="s">
        <v>403</v>
      </c>
      <c r="P545" s="1224" t="s">
        <v>416</v>
      </c>
      <c r="Q545" s="1225"/>
      <c r="R545" s="1225"/>
      <c r="S545" s="1225"/>
      <c r="T545" s="397"/>
      <c r="U545" s="397"/>
      <c r="V545" s="397"/>
      <c r="W545" s="397"/>
      <c r="X545" s="397"/>
      <c r="Y545" s="397"/>
      <c r="Z545" s="397"/>
      <c r="AA545" s="397"/>
      <c r="AB545" s="397"/>
      <c r="AC545" s="397"/>
      <c r="AD545" s="762"/>
      <c r="AG545" s="1222" t="str">
        <f>$AG$6</f>
        <v>2024 EMISSIONS</v>
      </c>
      <c r="AH545" s="900"/>
      <c r="AI545" s="900"/>
      <c r="AJ545" s="900"/>
      <c r="AK545" s="900"/>
      <c r="AL545" s="900"/>
      <c r="AM545" s="900"/>
      <c r="AN545" s="900"/>
      <c r="AO545" s="900"/>
      <c r="AP545" s="240"/>
      <c r="AQ545" s="1222" t="str">
        <f>$AQ$6</f>
        <v>OUTLOOKS</v>
      </c>
      <c r="AR545" s="1224" t="str">
        <f>$AR$6</f>
        <v>Estimated change in emissions based on
With Existing Measures scenario</v>
      </c>
      <c r="AS545" s="1225"/>
      <c r="AT545" s="1225"/>
      <c r="AU545" s="1225"/>
      <c r="AV545" s="397"/>
      <c r="AW545" s="397"/>
      <c r="AX545" s="397"/>
      <c r="AY545" s="397"/>
      <c r="AZ545" s="397"/>
      <c r="BA545" s="397"/>
      <c r="BB545" s="397"/>
      <c r="BC545" s="397"/>
    </row>
    <row r="546" spans="1:55" s="40" customFormat="1" ht="29.1" customHeight="1" x14ac:dyDescent="0.4">
      <c r="A546" s="50"/>
      <c r="B546" s="1038"/>
      <c r="C546" s="1038"/>
      <c r="D546" s="245" t="s">
        <v>48</v>
      </c>
      <c r="E546" s="1222"/>
      <c r="F546" s="1226" t="str">
        <f>"Losun "&amp;$A$1</f>
        <v>Losun 2024</v>
      </c>
      <c r="G546" s="1227"/>
      <c r="H546" s="1228" t="str">
        <f>"Breyting frá "&amp;$B$3</f>
        <v>Breyting frá 2023</v>
      </c>
      <c r="I546" s="1227"/>
      <c r="J546" s="1228" t="str">
        <f>"Breyting frá "&amp;$B$2</f>
        <v>Breyting frá 2005</v>
      </c>
      <c r="K546" s="1227"/>
      <c r="L546" s="1228" t="str">
        <f>"Breyting frá "&amp;$B$1</f>
        <v>Breyting frá 1990</v>
      </c>
      <c r="M546" s="1229"/>
      <c r="N546" s="240"/>
      <c r="O546" s="1222"/>
      <c r="P546" s="1226" t="s">
        <v>417</v>
      </c>
      <c r="Q546" s="1227"/>
      <c r="R546" s="1228" t="s">
        <v>418</v>
      </c>
      <c r="S546" s="1229"/>
      <c r="U546" s="397"/>
      <c r="V546" s="397"/>
      <c r="W546" s="397"/>
      <c r="X546" s="397"/>
      <c r="Y546" s="397"/>
      <c r="Z546" s="397"/>
      <c r="AA546" s="397"/>
      <c r="AB546" s="397"/>
      <c r="AC546" s="397"/>
      <c r="AD546" s="762"/>
      <c r="AG546" s="1222"/>
      <c r="AH546" s="1226" t="str">
        <f>$AH$7</f>
        <v>Emissions in 2023</v>
      </c>
      <c r="AI546" s="1227"/>
      <c r="AJ546" s="1228" t="str">
        <f>$AJ$7</f>
        <v>Change from 2022</v>
      </c>
      <c r="AK546" s="1227"/>
      <c r="AL546" s="1228" t="str">
        <f>$AL$7</f>
        <v>Change from 2005</v>
      </c>
      <c r="AM546" s="1227"/>
      <c r="AN546" s="1228" t="str">
        <f>$AN$7</f>
        <v>Change from 1990</v>
      </c>
      <c r="AO546" s="1229"/>
      <c r="AP546" s="240"/>
      <c r="AQ546" s="1222"/>
      <c r="AR546" s="1226" t="str">
        <f>$AR$7</f>
        <v>2030 compared to 2005</v>
      </c>
      <c r="AS546" s="1227"/>
      <c r="AT546" s="1228" t="str">
        <f>$AT$7</f>
        <v>2055 compared to 1990</v>
      </c>
      <c r="AU546" s="1229"/>
      <c r="AY546" s="397"/>
      <c r="AZ546" s="397"/>
      <c r="BA546" s="397"/>
      <c r="BB546" s="397"/>
      <c r="BC546" s="397"/>
    </row>
    <row r="547" spans="1:55" s="40" customFormat="1" ht="17.7" customHeight="1" thickBot="1" x14ac:dyDescent="0.45">
      <c r="A547" s="50"/>
      <c r="B547" s="1038"/>
      <c r="C547" s="1038"/>
      <c r="D547" s="245" t="s">
        <v>48</v>
      </c>
      <c r="E547" s="1223"/>
      <c r="F547" s="901" t="s">
        <v>431</v>
      </c>
      <c r="G547" s="902" t="s">
        <v>4</v>
      </c>
      <c r="H547" s="901" t="str">
        <f>$F$8</f>
        <v>Þús. tonn CO₂-íg.</v>
      </c>
      <c r="I547" s="902" t="s">
        <v>4</v>
      </c>
      <c r="J547" s="901" t="str">
        <f>$F$8</f>
        <v>Þús. tonn CO₂-íg.</v>
      </c>
      <c r="K547" s="902" t="s">
        <v>4</v>
      </c>
      <c r="L547" s="901" t="str">
        <f>$F$8</f>
        <v>Þús. tonn CO₂-íg.</v>
      </c>
      <c r="M547" s="901" t="s">
        <v>4</v>
      </c>
      <c r="N547" s="240"/>
      <c r="O547" s="1223"/>
      <c r="P547" s="901" t="str">
        <f>$F$8</f>
        <v>Þús. tonn CO₂-íg.</v>
      </c>
      <c r="Q547" s="902" t="s">
        <v>4</v>
      </c>
      <c r="R547" s="901" t="str">
        <f>$F$8</f>
        <v>Þús. tonn CO₂-íg.</v>
      </c>
      <c r="S547" s="901" t="s">
        <v>4</v>
      </c>
      <c r="U547" s="397"/>
      <c r="V547" s="397"/>
      <c r="W547" s="397"/>
      <c r="X547" s="397"/>
      <c r="Y547" s="397"/>
      <c r="Z547" s="397"/>
      <c r="AA547" s="397"/>
      <c r="AB547" s="397"/>
      <c r="AC547" s="397"/>
      <c r="AD547" s="762"/>
      <c r="AG547" s="1223"/>
      <c r="AH547" s="901" t="str">
        <f>$AH$8</f>
        <v>Thousand tons CO₂e</v>
      </c>
      <c r="AI547" s="902" t="s">
        <v>4</v>
      </c>
      <c r="AJ547" s="901" t="str">
        <f>$AH$8</f>
        <v>Thousand tons CO₂e</v>
      </c>
      <c r="AK547" s="902" t="s">
        <v>4</v>
      </c>
      <c r="AL547" s="901" t="str">
        <f>$F$8</f>
        <v>Þús. tonn CO₂-íg.</v>
      </c>
      <c r="AM547" s="902" t="s">
        <v>4</v>
      </c>
      <c r="AN547" s="901" t="str">
        <f>$AH$8</f>
        <v>Thousand tons CO₂e</v>
      </c>
      <c r="AO547" s="901" t="s">
        <v>4</v>
      </c>
      <c r="AP547" s="240"/>
      <c r="AQ547" s="1223"/>
      <c r="AR547" s="901" t="str">
        <f>$AH$8</f>
        <v>Thousand tons CO₂e</v>
      </c>
      <c r="AS547" s="902" t="s">
        <v>4</v>
      </c>
      <c r="AT547" s="901" t="str">
        <f>$AH$8</f>
        <v>Thousand tons CO₂e</v>
      </c>
      <c r="AU547" s="901" t="s">
        <v>4</v>
      </c>
      <c r="AY547" s="397"/>
      <c r="AZ547" s="397"/>
      <c r="BA547" s="397"/>
      <c r="BB547" s="397"/>
      <c r="BC547" s="397"/>
    </row>
    <row r="548" spans="1:55" s="40" customFormat="1" ht="21" customHeight="1" thickTop="1" x14ac:dyDescent="0.4">
      <c r="A548" s="50" t="s">
        <v>80</v>
      </c>
      <c r="B548" s="50" t="s">
        <v>326</v>
      </c>
      <c r="C548" s="50" t="s">
        <v>331</v>
      </c>
      <c r="D548" s="245" t="s">
        <v>48</v>
      </c>
      <c r="E548" s="908" t="str">
        <f>'Talnagögn | Numerical Data'!$D$182</f>
        <v>Skógar</v>
      </c>
      <c r="F548" s="903" cm="1">
        <f t="array" ref="F548">INDEX('Talnagögn | Numerical Data'!$1:$1048576,_xlfn.XMATCH($A548,'Talnagögn | Numerical Data'!$A:$A),_xlfn.XMATCH($A$1,'Talnagögn | Numerical Data'!$1:$1))</f>
        <v>-548.98804168208767</v>
      </c>
      <c r="G548" s="919">
        <f>$F548/$F$553</f>
        <v>-8.7575739722943094E-2</v>
      </c>
      <c r="H548" s="916" cm="1">
        <f t="array" ref="H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Data'!$A:$A),_xlfn.XMATCH($B$3,'Talnagögn | Numerical Data'!$1:$1))</f>
        <v>4.7080850659411908</v>
      </c>
      <c r="I548" s="1061" cm="1">
        <f t="array" ref="I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Data'!$A:$A),_xlfn.XMATCH($B$3,'Talnagögn | Numerical Data'!$1:$1))-1</f>
        <v>-8.5030124620750769E-3</v>
      </c>
      <c r="J548" s="904" cm="1">
        <f t="array" ref="J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Data'!$A:$A),_xlfn.XMATCH($B$2,'Talnagögn | Numerical Data'!$1:$1))</f>
        <v>-408.70600072933848</v>
      </c>
      <c r="K548" s="927" cm="1">
        <f t="array" ref="K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Data'!$A:$A),_xlfn.XMATCH($B$2,'Talnagögn | Numerical Data'!$1:$1))-1</f>
        <v>2.9134591851782488</v>
      </c>
      <c r="L548" s="904" cm="1">
        <f t="array" ref="L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Data'!$A:$A),_xlfn.XMATCH($B$1,'Talnagögn | Numerical Data'!$1:$1))</f>
        <v>-519.41071995688003</v>
      </c>
      <c r="M548" s="905" cm="1">
        <f t="array" ref="M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Data'!$A:$A),_xlfn.XMATCH($B$1,'Talnagögn | Numerical Data'!$1:$1))-1</f>
        <v>17.561114044825988</v>
      </c>
      <c r="N548" s="397"/>
      <c r="O548" s="929" t="str">
        <f>'Talnagögn | Numerical Data'!$D$182</f>
        <v>Skógar</v>
      </c>
      <c r="P548" s="904" cm="1">
        <f t="array" ref="P548">INDEX('Talnagögn | Numerical Data'!$1:$1048576,_xlfn.XMATCH($B548,'Talnagögn | Numerical Data'!$B:$B),_xlfn.XMATCH($B$4,'Talnagögn | Numerical Data'!$1:$1))-INDEX('Talnagögn | Numerical Data'!$1:$1048576,_xlfn.XMATCH($A548,'Talnagögn | Numerical Data'!$A:$A),_xlfn.XMATCH($B$2,'Talnagögn | Numerical Data'!$1:$1))</f>
        <v>-536.73756797352826</v>
      </c>
      <c r="Q548" s="927" cm="1">
        <f t="array" ref="Q548">INDEX('Talnagögn | Numerical Data'!$1:$1048576,_xlfn.XMATCH($B548,'Talnagögn | Numerical Data'!$B:$B),_xlfn.XMATCH($B$4,'Talnagögn | Numerical Data'!$1:$1))/INDEX('Talnagögn | Numerical Data'!$1:$1048576,_xlfn.XMATCH($A548,'Talnagögn | Numerical Data'!$A:$A),_xlfn.XMATCH($B$2,'Talnagögn | Numerical Data'!$1:$1))-1</f>
        <v>3.8261317295370398</v>
      </c>
      <c r="R548" s="904" cm="1">
        <f t="array" ref="R548">INDEX('Talnagögn | Numerical Data'!$1:$1048576,_xlfn.XMATCH($B548,'Talnagögn | Numerical Data'!$B:$B),_xlfn.XMATCH($B$5,'Talnagögn | Numerical Data'!$1:$1))-INDEX('Talnagögn | Numerical Data'!$1:$1048576,_xlfn.XMATCH($A548,'Talnagögn | Numerical Data'!$A:$A),_xlfn.XMATCH($B$1,'Talnagögn | Numerical Data'!$1:$1))</f>
        <v>-2227.6090973206956</v>
      </c>
      <c r="S548" s="905" cm="1">
        <f t="array" ref="S548">INDEX('Talnagögn | Numerical Data'!$1:$1048576,_xlfn.XMATCH($B548,'Talnagögn | Numerical Data'!$B:$B),_xlfn.XMATCH($B$5,'Talnagögn | Numerical Data'!$1:$1))/INDEX('Talnagögn | Numerical Data'!$1:$1048576,_xlfn.XMATCH($A548,'Talnagögn | Numerical Data'!$A:$A),_xlfn.XMATCH($B$1,'Talnagögn | Numerical Data'!$1:$1))-1</f>
        <v>75.314767104899516</v>
      </c>
      <c r="U548" s="397"/>
      <c r="V548" s="397"/>
      <c r="W548" s="397"/>
      <c r="X548" s="397"/>
      <c r="Y548" s="397"/>
      <c r="Z548" s="397"/>
      <c r="AA548" s="397"/>
      <c r="AB548" s="397"/>
      <c r="AC548" s="397"/>
      <c r="AD548" s="762"/>
      <c r="AG548" s="908" t="str">
        <f>'Talnagögn | Numerical Data'!$E$182</f>
        <v>Forest Land</v>
      </c>
      <c r="AH548" s="903" cm="1">
        <f t="array" ref="AH548">INDEX('Talnagögn | Numerical Data'!$1:$1048576,_xlfn.XMATCH($A548,'Talnagögn | Numerical Data'!$A:$A),_xlfn.XMATCH($A$1,'Talnagögn | Numerical Data'!$1:$1))</f>
        <v>-548.98804168208767</v>
      </c>
      <c r="AI548" s="919">
        <f>$F548/$F$553</f>
        <v>-8.7575739722943094E-2</v>
      </c>
      <c r="AJ548" s="916" cm="1">
        <f t="array" ref="AJ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Data'!$A:$A),_xlfn.XMATCH($B$3,'Talnagögn | Numerical Data'!$1:$1))</f>
        <v>4.7080850659411908</v>
      </c>
      <c r="AK548" s="1061" cm="1">
        <f t="array" ref="AK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Data'!$A:$A),_xlfn.XMATCH($B$3,'Talnagögn | Numerical Data'!$1:$1))-1</f>
        <v>-8.5030124620750769E-3</v>
      </c>
      <c r="AL548" s="904" cm="1">
        <f t="array" ref="AL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Data'!$A:$A),_xlfn.XMATCH($B$2,'Talnagögn | Numerical Data'!$1:$1))</f>
        <v>-408.70600072933848</v>
      </c>
      <c r="AM548" s="927" cm="1">
        <f t="array" ref="AM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Data'!$A:$A),_xlfn.XMATCH($B$2,'Talnagögn | Numerical Data'!$1:$1))-1</f>
        <v>2.9134591851782488</v>
      </c>
      <c r="AN548" s="904" cm="1">
        <f t="array" ref="AN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Data'!$A:$A),_xlfn.XMATCH($B$1,'Talnagögn | Numerical Data'!$1:$1))</f>
        <v>-519.41071995688003</v>
      </c>
      <c r="AO548" s="905" cm="1">
        <f t="array" ref="AO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Data'!$A:$A),_xlfn.XMATCH($B$1,'Talnagögn | Numerical Data'!$1:$1))-1</f>
        <v>17.561114044825988</v>
      </c>
      <c r="AP548" s="397"/>
      <c r="AQ548" s="908" t="str">
        <f>'Talnagögn | Numerical Data'!$E$182</f>
        <v>Forest Land</v>
      </c>
      <c r="AR548" s="904" cm="1">
        <f t="array" ref="AR548">INDEX('Talnagögn | Numerical Data'!$1:$1048576,_xlfn.XMATCH($B548,'Talnagögn | Numerical Data'!$B:$B),_xlfn.XMATCH($B$4,'Talnagögn | Numerical Data'!$1:$1))-INDEX('Talnagögn | Numerical Data'!$1:$1048576,_xlfn.XMATCH($A548,'Talnagögn | Numerical Data'!$A:$A),_xlfn.XMATCH($B$2,'Talnagögn | Numerical Data'!$1:$1))</f>
        <v>-536.73756797352826</v>
      </c>
      <c r="AS548" s="927" cm="1">
        <f t="array" ref="AS548">INDEX('Talnagögn | Numerical Data'!$1:$1048576,_xlfn.XMATCH($B548,'Talnagögn | Numerical Data'!$B:$B),_xlfn.XMATCH($B$4,'Talnagögn | Numerical Data'!$1:$1))/INDEX('Talnagögn | Numerical Data'!$1:$1048576,_xlfn.XMATCH($A548,'Talnagögn | Numerical Data'!$A:$A),_xlfn.XMATCH($B$2,'Talnagögn | Numerical Data'!$1:$1))-1</f>
        <v>3.8261317295370398</v>
      </c>
      <c r="AT548" s="904" cm="1">
        <f t="array" ref="AT548">INDEX('Talnagögn | Numerical Data'!$1:$1048576,_xlfn.XMATCH($B548,'Talnagögn | Numerical Data'!$B:$B),_xlfn.XMATCH($B$5,'Talnagögn | Numerical Data'!$1:$1))-INDEX('Talnagögn | Numerical Data'!$1:$1048576,_xlfn.XMATCH($A548,'Talnagögn | Numerical Data'!$A:$A),_xlfn.XMATCH($B$1,'Talnagögn | Numerical Data'!$1:$1))</f>
        <v>-2227.6090973206956</v>
      </c>
      <c r="AU548" s="905" cm="1">
        <f t="array" ref="AU548">INDEX('Talnagögn | Numerical Data'!$1:$1048576,_xlfn.XMATCH($B548,'Talnagögn | Numerical Data'!$B:$B),_xlfn.XMATCH($B$5,'Talnagögn | Numerical Data'!$1:$1))/INDEX('Talnagögn | Numerical Data'!$1:$1048576,_xlfn.XMATCH($A548,'Talnagögn | Numerical Data'!$A:$A),_xlfn.XMATCH($B$1,'Talnagögn | Numerical Data'!$1:$1))-1</f>
        <v>75.314767104899516</v>
      </c>
      <c r="AY548" s="397"/>
      <c r="AZ548" s="397"/>
      <c r="BA548" s="397"/>
      <c r="BB548" s="397"/>
      <c r="BC548" s="397"/>
    </row>
    <row r="549" spans="1:55" s="40" customFormat="1" ht="21" customHeight="1" x14ac:dyDescent="0.4">
      <c r="A549" s="50" t="s">
        <v>81</v>
      </c>
      <c r="B549" s="50" t="s">
        <v>327</v>
      </c>
      <c r="C549" s="50" t="s">
        <v>332</v>
      </c>
      <c r="D549" s="245" t="s">
        <v>48</v>
      </c>
      <c r="E549" s="909" t="str">
        <f>'Talnagögn | Numerical Data'!$D$183</f>
        <v>Ræktað land</v>
      </c>
      <c r="F549" s="904" cm="1">
        <f t="array" ref="F549">INDEX('Talnagögn | Numerical Data'!$1:$1048576,_xlfn.XMATCH($A549,'Talnagögn | Numerical Data'!$A:$A),_xlfn.XMATCH($A$1,'Talnagögn | Numerical Data'!$1:$1))</f>
        <v>1904.8811133888019</v>
      </c>
      <c r="G549" s="920">
        <f>$F549/$F$553</f>
        <v>0.30387068555837871</v>
      </c>
      <c r="H549" s="904" cm="1">
        <f t="array" ref="H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Data'!$A:$A),_xlfn.XMATCH($B$3,'Talnagögn | Numerical Data'!$1:$1))</f>
        <v>17.557132557972182</v>
      </c>
      <c r="I549" s="924" cm="1">
        <f t="array" ref="I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Data'!$A:$A),_xlfn.XMATCH($B$3,'Talnagögn | Numerical Data'!$1:$1))-1</f>
        <v>9.3026596049732291E-3</v>
      </c>
      <c r="J549" s="904" cm="1">
        <f t="array" ref="J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Data'!$A:$A),_xlfn.XMATCH($B$2,'Talnagögn | Numerical Data'!$1:$1))</f>
        <v>341.44121029678809</v>
      </c>
      <c r="K549" s="920" cm="1">
        <f t="array" ref="K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Data'!$A:$A),_xlfn.XMATCH($B$2,'Talnagögn | Numerical Data'!$1:$1))-1</f>
        <v>0.21839100410672652</v>
      </c>
      <c r="L549" s="904" cm="1">
        <f t="array" ref="L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Data'!$A:$A),_xlfn.XMATCH($B$1,'Talnagögn | Numerical Data'!$1:$1))</f>
        <v>374.92232508510915</v>
      </c>
      <c r="M549" s="905" cm="1">
        <f t="array" ref="M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Data'!$A:$A),_xlfn.XMATCH($B$1,'Talnagögn | Numerical Data'!$1:$1))-1</f>
        <v>0.24505387200709894</v>
      </c>
      <c r="N549" s="397"/>
      <c r="O549" s="930" t="str">
        <f>'Talnagögn | Numerical Data'!$D$183</f>
        <v>Ræktað land</v>
      </c>
      <c r="P549" s="904" cm="1">
        <f t="array" ref="P549">INDEX('Talnagögn | Numerical Data'!$1:$1048576,_xlfn.XMATCH($B549,'Talnagögn | Numerical Data'!$B:$B),_xlfn.XMATCH($B$4,'Talnagögn | Numerical Data'!$1:$1))-INDEX('Talnagögn | Numerical Data'!$1:$1048576,_xlfn.XMATCH($A549,'Talnagögn | Numerical Data'!$A:$A),_xlfn.XMATCH($B$2,'Talnagögn | Numerical Data'!$1:$1))</f>
        <v>445.17075287629609</v>
      </c>
      <c r="Q549" s="920" cm="1">
        <f t="array" ref="Q549">INDEX('Talnagögn | Numerical Data'!$1:$1048576,_xlfn.XMATCH($B549,'Talnagögn | Numerical Data'!$B:$B),_xlfn.XMATCH($B$4,'Talnagögn | Numerical Data'!$1:$1))/INDEX('Talnagögn | Numerical Data'!$1:$1048576,_xlfn.XMATCH($A549,'Talnagögn | Numerical Data'!$A:$A),_xlfn.XMATCH($B$2,'Talnagögn | Numerical Data'!$1:$1))-1</f>
        <v>0.2847380011191234</v>
      </c>
      <c r="R549" s="904" cm="1">
        <f t="array" ref="R549">INDEX('Talnagögn | Numerical Data'!$1:$1048576,_xlfn.XMATCH($B549,'Talnagögn | Numerical Data'!$B:$B),_xlfn.XMATCH($B$5,'Talnagögn | Numerical Data'!$1:$1))-INDEX('Talnagögn | Numerical Data'!$1:$1048576,_xlfn.XMATCH($A549,'Talnagögn | Numerical Data'!$A:$A),_xlfn.XMATCH($B$1,'Talnagögn | Numerical Data'!$1:$1))</f>
        <v>897.41452200202798</v>
      </c>
      <c r="S549" s="905" cm="1">
        <f t="array" ref="S549">INDEX('Talnagögn | Numerical Data'!$1:$1048576,_xlfn.XMATCH($B549,'Talnagögn | Numerical Data'!$B:$B),_xlfn.XMATCH($B$5,'Talnagögn | Numerical Data'!$1:$1))/INDEX('Talnagögn | Numerical Data'!$1:$1048576,_xlfn.XMATCH($A549,'Talnagögn | Numerical Data'!$A:$A),_xlfn.XMATCH($B$1,'Talnagögn | Numerical Data'!$1:$1))-1</f>
        <v>0.58656123868343935</v>
      </c>
      <c r="U549" s="397"/>
      <c r="V549" s="397"/>
      <c r="W549" s="397"/>
      <c r="X549" s="397"/>
      <c r="Y549" s="397"/>
      <c r="Z549" s="397"/>
      <c r="AA549" s="397"/>
      <c r="AB549" s="397"/>
      <c r="AC549" s="397"/>
      <c r="AD549" s="762"/>
      <c r="AG549" s="909" t="str">
        <f>'Talnagögn | Numerical Data'!$E$183</f>
        <v>Cropland</v>
      </c>
      <c r="AH549" s="904" cm="1">
        <f t="array" ref="AH549">INDEX('Talnagögn | Numerical Data'!$1:$1048576,_xlfn.XMATCH($A549,'Talnagögn | Numerical Data'!$A:$A),_xlfn.XMATCH($A$1,'Talnagögn | Numerical Data'!$1:$1))</f>
        <v>1904.8811133888019</v>
      </c>
      <c r="AI549" s="920">
        <f>$F549/$F$553</f>
        <v>0.30387068555837871</v>
      </c>
      <c r="AJ549" s="904" cm="1">
        <f t="array" ref="AJ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Data'!$A:$A),_xlfn.XMATCH($B$3,'Talnagögn | Numerical Data'!$1:$1))</f>
        <v>17.557132557972182</v>
      </c>
      <c r="AK549" s="924" cm="1">
        <f t="array" ref="AK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Data'!$A:$A),_xlfn.XMATCH($B$3,'Talnagögn | Numerical Data'!$1:$1))-1</f>
        <v>9.3026596049732291E-3</v>
      </c>
      <c r="AL549" s="904" cm="1">
        <f t="array" ref="AL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Data'!$A:$A),_xlfn.XMATCH($B$2,'Talnagögn | Numerical Data'!$1:$1))</f>
        <v>341.44121029678809</v>
      </c>
      <c r="AM549" s="920" cm="1">
        <f t="array" ref="AM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Data'!$A:$A),_xlfn.XMATCH($B$2,'Talnagögn | Numerical Data'!$1:$1))-1</f>
        <v>0.21839100410672652</v>
      </c>
      <c r="AN549" s="904" cm="1">
        <f t="array" ref="AN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Data'!$A:$A),_xlfn.XMATCH($B$1,'Talnagögn | Numerical Data'!$1:$1))</f>
        <v>374.92232508510915</v>
      </c>
      <c r="AO549" s="905" cm="1">
        <f t="array" ref="AO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Data'!$A:$A),_xlfn.XMATCH($B$1,'Talnagögn | Numerical Data'!$1:$1))-1</f>
        <v>0.24505387200709894</v>
      </c>
      <c r="AP549" s="397"/>
      <c r="AQ549" s="909" t="str">
        <f>'Talnagögn | Numerical Data'!$E$183</f>
        <v>Cropland</v>
      </c>
      <c r="AR549" s="904" cm="1">
        <f t="array" ref="AR549">INDEX('Talnagögn | Numerical Data'!$1:$1048576,_xlfn.XMATCH($B549,'Talnagögn | Numerical Data'!$B:$B),_xlfn.XMATCH($B$4,'Talnagögn | Numerical Data'!$1:$1))-INDEX('Talnagögn | Numerical Data'!$1:$1048576,_xlfn.XMATCH($A549,'Talnagögn | Numerical Data'!$A:$A),_xlfn.XMATCH($B$2,'Talnagögn | Numerical Data'!$1:$1))</f>
        <v>445.17075287629609</v>
      </c>
      <c r="AS549" s="920" cm="1">
        <f t="array" ref="AS549">INDEX('Talnagögn | Numerical Data'!$1:$1048576,_xlfn.XMATCH($B549,'Talnagögn | Numerical Data'!$B:$B),_xlfn.XMATCH($B$4,'Talnagögn | Numerical Data'!$1:$1))/INDEX('Talnagögn | Numerical Data'!$1:$1048576,_xlfn.XMATCH($A549,'Talnagögn | Numerical Data'!$A:$A),_xlfn.XMATCH($B$2,'Talnagögn | Numerical Data'!$1:$1))-1</f>
        <v>0.2847380011191234</v>
      </c>
      <c r="AT549" s="904" cm="1">
        <f t="array" ref="AT549">INDEX('Talnagögn | Numerical Data'!$1:$1048576,_xlfn.XMATCH($B549,'Talnagögn | Numerical Data'!$B:$B),_xlfn.XMATCH($B$5,'Talnagögn | Numerical Data'!$1:$1))-INDEX('Talnagögn | Numerical Data'!$1:$1048576,_xlfn.XMATCH($A549,'Talnagögn | Numerical Data'!$A:$A),_xlfn.XMATCH($B$1,'Talnagögn | Numerical Data'!$1:$1))</f>
        <v>897.41452200202798</v>
      </c>
      <c r="AU549" s="905" cm="1">
        <f t="array" ref="AU549">INDEX('Talnagögn | Numerical Data'!$1:$1048576,_xlfn.XMATCH($B549,'Talnagögn | Numerical Data'!$B:$B),_xlfn.XMATCH($B$5,'Talnagögn | Numerical Data'!$1:$1))/INDEX('Talnagögn | Numerical Data'!$1:$1048576,_xlfn.XMATCH($A549,'Talnagögn | Numerical Data'!$A:$A),_xlfn.XMATCH($B$1,'Talnagögn | Numerical Data'!$1:$1))-1</f>
        <v>0.58656123868343935</v>
      </c>
      <c r="AY549" s="397"/>
      <c r="AZ549" s="397"/>
      <c r="BA549" s="397"/>
      <c r="BB549" s="397"/>
      <c r="BC549" s="397"/>
    </row>
    <row r="550" spans="1:55" s="40" customFormat="1" ht="21" customHeight="1" x14ac:dyDescent="0.4">
      <c r="A550" s="50" t="s">
        <v>82</v>
      </c>
      <c r="B550" s="50" t="s">
        <v>328</v>
      </c>
      <c r="C550" s="50" t="s">
        <v>333</v>
      </c>
      <c r="D550" s="245" t="s">
        <v>48</v>
      </c>
      <c r="E550" s="909" t="str">
        <f>'Talnagögn | Numerical Data'!$D$184</f>
        <v>Mólendi</v>
      </c>
      <c r="F550" s="904" cm="1">
        <f t="array" ref="F550">INDEX('Talnagögn | Numerical Data'!$1:$1048576,_xlfn.XMATCH($A550,'Talnagögn | Numerical Data'!$A:$A),_xlfn.XMATCH($A$1,'Talnagögn | Numerical Data'!$1:$1))</f>
        <v>4860.0545959973206</v>
      </c>
      <c r="G550" s="920">
        <f>$F550/$F$553</f>
        <v>0.77528624309239091</v>
      </c>
      <c r="H550" s="916" cm="1">
        <f t="array" ref="H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Data'!$A:$A),_xlfn.XMATCH($B$3,'Talnagögn | Numerical Data'!$1:$1))</f>
        <v>-5.3273765659932906</v>
      </c>
      <c r="I550" s="924" cm="1">
        <f t="array" ref="I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Data'!$A:$A),_xlfn.XMATCH($B$3,'Talnagögn | Numerical Data'!$1:$1))-1</f>
        <v>-1.0949554620860447E-3</v>
      </c>
      <c r="J550" s="904" cm="1">
        <f t="array" ref="J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Data'!$A:$A),_xlfn.XMATCH($B$2,'Talnagögn | Numerical Data'!$1:$1))</f>
        <v>88.175057281830959</v>
      </c>
      <c r="K550" s="921" cm="1">
        <f t="array" ref="K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Data'!$A:$A),_xlfn.XMATCH($B$2,'Talnagögn | Numerical Data'!$1:$1))-1</f>
        <v>1.8478055987466657E-2</v>
      </c>
      <c r="L550" s="904" cm="1">
        <f t="array" ref="L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Data'!$A:$A),_xlfn.XMATCH($B$1,'Talnagögn | Numerical Data'!$1:$1))</f>
        <v>119.38433857343898</v>
      </c>
      <c r="M550" s="906" cm="1">
        <f t="array" ref="M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Data'!$A:$A),_xlfn.XMATCH($B$1,'Talnagögn | Numerical Data'!$1:$1))-1</f>
        <v>2.5183008328091061E-2</v>
      </c>
      <c r="N550" s="397"/>
      <c r="O550" s="930" t="str">
        <f>'Talnagögn | Numerical Data'!$D$184</f>
        <v>Mólendi</v>
      </c>
      <c r="P550" s="904" cm="1">
        <f t="array" ref="P550">INDEX('Talnagögn | Numerical Data'!$1:$1048576,_xlfn.XMATCH($B550,'Talnagögn | Numerical Data'!$B:$B),_xlfn.XMATCH($B$4,'Talnagögn | Numerical Data'!$1:$1))-INDEX('Talnagögn | Numerical Data'!$1:$1048576,_xlfn.XMATCH($A550,'Talnagögn | Numerical Data'!$A:$A),_xlfn.XMATCH($B$2,'Talnagögn | Numerical Data'!$1:$1))</f>
        <v>-42.265103509317669</v>
      </c>
      <c r="Q550" s="924" cm="1">
        <f t="array" ref="Q550">INDEX('Talnagögn | Numerical Data'!$1:$1048576,_xlfn.XMATCH($B550,'Talnagögn | Numerical Data'!$B:$B),_xlfn.XMATCH($B$4,'Talnagögn | Numerical Data'!$1:$1))/INDEX('Talnagögn | Numerical Data'!$1:$1048576,_xlfn.XMATCH($A550,'Talnagögn | Numerical Data'!$A:$A),_xlfn.XMATCH($B$2,'Talnagögn | Numerical Data'!$1:$1))-1</f>
        <v>-8.8571187026851295E-3</v>
      </c>
      <c r="R550" s="904" cm="1">
        <f t="array" ref="R550">INDEX('Talnagögn | Numerical Data'!$1:$1048576,_xlfn.XMATCH($B550,'Talnagögn | Numerical Data'!$B:$B),_xlfn.XMATCH($B$5,'Talnagögn | Numerical Data'!$1:$1))-INDEX('Talnagögn | Numerical Data'!$1:$1048576,_xlfn.XMATCH($A550,'Talnagögn | Numerical Data'!$A:$A),_xlfn.XMATCH($B$1,'Talnagögn | Numerical Data'!$1:$1))</f>
        <v>-275.22502310797518</v>
      </c>
      <c r="S550" s="906" cm="1">
        <f t="array" ref="S550">INDEX('Talnagögn | Numerical Data'!$1:$1048576,_xlfn.XMATCH($B550,'Talnagögn | Numerical Data'!$B:$B),_xlfn.XMATCH($B$5,'Talnagögn | Numerical Data'!$1:$1))/INDEX('Talnagögn | Numerical Data'!$1:$1048576,_xlfn.XMATCH($A550,'Talnagögn | Numerical Data'!$A:$A),_xlfn.XMATCH($B$1,'Talnagögn | Numerical Data'!$1:$1))-1</f>
        <v>-5.8056141465855693E-2</v>
      </c>
      <c r="U550" s="397"/>
      <c r="V550" s="397"/>
      <c r="W550" s="397"/>
      <c r="X550" s="397"/>
      <c r="Y550" s="397"/>
      <c r="Z550" s="397"/>
      <c r="AA550" s="397"/>
      <c r="AB550" s="397"/>
      <c r="AC550" s="397"/>
      <c r="AD550" s="762"/>
      <c r="AG550" s="909" t="str">
        <f>'Talnagögn | Numerical Data'!$E$184</f>
        <v>Grassland</v>
      </c>
      <c r="AH550" s="904" cm="1">
        <f t="array" ref="AH550">INDEX('Talnagögn | Numerical Data'!$1:$1048576,_xlfn.XMATCH($A550,'Talnagögn | Numerical Data'!$A:$A),_xlfn.XMATCH($A$1,'Talnagögn | Numerical Data'!$1:$1))</f>
        <v>4860.0545959973206</v>
      </c>
      <c r="AI550" s="920">
        <f>$F550/$F$553</f>
        <v>0.77528624309239091</v>
      </c>
      <c r="AJ550" s="916" cm="1">
        <f t="array" ref="AJ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Data'!$A:$A),_xlfn.XMATCH($B$3,'Talnagögn | Numerical Data'!$1:$1))</f>
        <v>-5.3273765659932906</v>
      </c>
      <c r="AK550" s="924" cm="1">
        <f t="array" ref="AK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Data'!$A:$A),_xlfn.XMATCH($B$3,'Talnagögn | Numerical Data'!$1:$1))-1</f>
        <v>-1.0949554620860447E-3</v>
      </c>
      <c r="AL550" s="904" cm="1">
        <f t="array" ref="AL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Data'!$A:$A),_xlfn.XMATCH($B$2,'Talnagögn | Numerical Data'!$1:$1))</f>
        <v>88.175057281830959</v>
      </c>
      <c r="AM550" s="921" cm="1">
        <f t="array" ref="AM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Data'!$A:$A),_xlfn.XMATCH($B$2,'Talnagögn | Numerical Data'!$1:$1))-1</f>
        <v>1.8478055987466657E-2</v>
      </c>
      <c r="AN550" s="904" cm="1">
        <f t="array" ref="AN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Data'!$A:$A),_xlfn.XMATCH($B$1,'Talnagögn | Numerical Data'!$1:$1))</f>
        <v>119.38433857343898</v>
      </c>
      <c r="AO550" s="906" cm="1">
        <f t="array" ref="AO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Data'!$A:$A),_xlfn.XMATCH($B$1,'Talnagögn | Numerical Data'!$1:$1))-1</f>
        <v>2.5183008328091061E-2</v>
      </c>
      <c r="AP550" s="397"/>
      <c r="AQ550" s="909" t="str">
        <f>'Talnagögn | Numerical Data'!$E$184</f>
        <v>Grassland</v>
      </c>
      <c r="AR550" s="904" cm="1">
        <f t="array" ref="AR550">INDEX('Talnagögn | Numerical Data'!$1:$1048576,_xlfn.XMATCH($B550,'Talnagögn | Numerical Data'!$B:$B),_xlfn.XMATCH($B$4,'Talnagögn | Numerical Data'!$1:$1))-INDEX('Talnagögn | Numerical Data'!$1:$1048576,_xlfn.XMATCH($A550,'Talnagögn | Numerical Data'!$A:$A),_xlfn.XMATCH($B$2,'Talnagögn | Numerical Data'!$1:$1))</f>
        <v>-42.265103509317669</v>
      </c>
      <c r="AS550" s="924" cm="1">
        <f t="array" ref="AS550">INDEX('Talnagögn | Numerical Data'!$1:$1048576,_xlfn.XMATCH($B550,'Talnagögn | Numerical Data'!$B:$B),_xlfn.XMATCH($B$4,'Talnagögn | Numerical Data'!$1:$1))/INDEX('Talnagögn | Numerical Data'!$1:$1048576,_xlfn.XMATCH($A550,'Talnagögn | Numerical Data'!$A:$A),_xlfn.XMATCH($B$2,'Talnagögn | Numerical Data'!$1:$1))-1</f>
        <v>-8.8571187026851295E-3</v>
      </c>
      <c r="AT550" s="904" cm="1">
        <f t="array" ref="AT550">INDEX('Talnagögn | Numerical Data'!$1:$1048576,_xlfn.XMATCH($B550,'Talnagögn | Numerical Data'!$B:$B),_xlfn.XMATCH($B$5,'Talnagögn | Numerical Data'!$1:$1))-INDEX('Talnagögn | Numerical Data'!$1:$1048576,_xlfn.XMATCH($A550,'Talnagögn | Numerical Data'!$A:$A),_xlfn.XMATCH($B$1,'Talnagögn | Numerical Data'!$1:$1))</f>
        <v>-275.22502310797518</v>
      </c>
      <c r="AU550" s="906" cm="1">
        <f t="array" ref="AU550">INDEX('Talnagögn | Numerical Data'!$1:$1048576,_xlfn.XMATCH($B550,'Talnagögn | Numerical Data'!$B:$B),_xlfn.XMATCH($B$5,'Talnagögn | Numerical Data'!$1:$1))/INDEX('Talnagögn | Numerical Data'!$1:$1048576,_xlfn.XMATCH($A550,'Talnagögn | Numerical Data'!$A:$A),_xlfn.XMATCH($B$1,'Talnagögn | Numerical Data'!$1:$1))-1</f>
        <v>-5.8056141465855693E-2</v>
      </c>
      <c r="AY550" s="397"/>
      <c r="AZ550" s="397"/>
      <c r="BA550" s="397"/>
      <c r="BB550" s="397"/>
      <c r="BC550" s="397"/>
    </row>
    <row r="551" spans="1:55" s="40" customFormat="1" ht="21" customHeight="1" x14ac:dyDescent="0.4">
      <c r="A551" s="50" t="s">
        <v>83</v>
      </c>
      <c r="B551" s="50" t="s">
        <v>329</v>
      </c>
      <c r="C551" s="50" t="s">
        <v>334</v>
      </c>
      <c r="D551" s="245" t="s">
        <v>48</v>
      </c>
      <c r="E551" s="909" t="str">
        <f>'Talnagögn | Numerical Data'!$D$185</f>
        <v>Votlendi</v>
      </c>
      <c r="F551" s="904" cm="1">
        <f t="array" ref="F551">INDEX('Talnagögn | Numerical Data'!$1:$1048576,_xlfn.XMATCH($A551,'Talnagögn | Numerical Data'!$A:$A),_xlfn.XMATCH($A$1,'Talnagögn | Numerical Data'!$1:$1))</f>
        <v>17.217344451352297</v>
      </c>
      <c r="G551" s="924">
        <f>$F551/$F$553</f>
        <v>2.7465473961362685E-3</v>
      </c>
      <c r="H551" s="1060" cm="1">
        <f t="array" ref="H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Data'!$A:$A),_xlfn.XMATCH($B$3,'Talnagögn | Numerical Data'!$1:$1))</f>
        <v>6.7826666666665147E-2</v>
      </c>
      <c r="I551" s="924" cm="1">
        <f t="array" ref="I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Data'!$A:$A),_xlfn.XMATCH($B$3,'Talnagögn | Numerical Data'!$1:$1))-1</f>
        <v>3.9550188826436017E-3</v>
      </c>
      <c r="J551" s="916" cm="1">
        <f t="array" ref="J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Data'!$A:$A),_xlfn.XMATCH($B$2,'Talnagögn | Numerical Data'!$1:$1))</f>
        <v>-2.2265922599370782</v>
      </c>
      <c r="K551" s="920" cm="1">
        <f t="array" ref="K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Data'!$A:$A),_xlfn.XMATCH($B$2,'Talnagögn | Numerical Data'!$1:$1))-1</f>
        <v>-0.11451344925661544</v>
      </c>
      <c r="L551" s="904" cm="1">
        <f t="array" ref="L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Data'!$A:$A),_xlfn.XMATCH($B$1,'Talnagögn | Numerical Data'!$1:$1))</f>
        <v>14.558818533148811</v>
      </c>
      <c r="M551" s="905" cm="1">
        <f t="array" ref="M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Data'!$A:$A),_xlfn.XMATCH($B$1,'Talnagögn | Numerical Data'!$1:$1))-1</f>
        <v>5.4762748158524692</v>
      </c>
      <c r="N551" s="397"/>
      <c r="O551" s="930" t="str">
        <f>'Talnagögn | Numerical Data'!$D$185</f>
        <v>Votlendi</v>
      </c>
      <c r="P551" s="904" cm="1">
        <f t="array" ref="P551">INDEX('Talnagögn | Numerical Data'!$1:$1048576,_xlfn.XMATCH($B551,'Talnagögn | Numerical Data'!$B:$B),_xlfn.XMATCH($B$4,'Talnagögn | Numerical Data'!$1:$1))-INDEX('Talnagögn | Numerical Data'!$1:$1048576,_xlfn.XMATCH($A551,'Talnagögn | Numerical Data'!$A:$A),_xlfn.XMATCH($B$2,'Talnagögn | Numerical Data'!$1:$1))</f>
        <v>10.466342135460096</v>
      </c>
      <c r="Q551" s="920" cm="1">
        <f t="array" ref="Q551">INDEX('Talnagögn | Numerical Data'!$1:$1048576,_xlfn.XMATCH($B551,'Talnagögn | Numerical Data'!$B:$B),_xlfn.XMATCH($B$4,'Talnagögn | Numerical Data'!$1:$1))/INDEX('Talnagögn | Numerical Data'!$1:$1048576,_xlfn.XMATCH($A551,'Talnagögn | Numerical Data'!$A:$A),_xlfn.XMATCH($B$2,'Talnagögn | Numerical Data'!$1:$1))-1</f>
        <v>0.53828307975222001</v>
      </c>
      <c r="R551" s="904" cm="1">
        <f t="array" ref="R551">INDEX('Talnagögn | Numerical Data'!$1:$1048576,_xlfn.XMATCH($B551,'Talnagögn | Numerical Data'!$B:$B),_xlfn.XMATCH($B$5,'Talnagögn | Numerical Data'!$1:$1))-INDEX('Talnagögn | Numerical Data'!$1:$1048576,_xlfn.XMATCH($A551,'Talnagögn | Numerical Data'!$A:$A),_xlfn.XMATCH($B$1,'Talnagögn | Numerical Data'!$1:$1))</f>
        <v>81.550660661540064</v>
      </c>
      <c r="S551" s="905" cm="1">
        <f t="array" ref="S551">INDEX('Talnagögn | Numerical Data'!$1:$1048576,_xlfn.XMATCH($B551,'Talnagögn | Numerical Data'!$B:$B),_xlfn.XMATCH($B$5,'Talnagögn | Numerical Data'!$1:$1))/INDEX('Talnagögn | Numerical Data'!$1:$1048576,_xlfn.XMATCH($A551,'Talnagögn | Numerical Data'!$A:$A),_xlfn.XMATCH($B$1,'Talnagögn | Numerical Data'!$1:$1))-1</f>
        <v>30.675142229438332</v>
      </c>
      <c r="U551" s="397"/>
      <c r="V551" s="397"/>
      <c r="W551" s="397"/>
      <c r="X551" s="397"/>
      <c r="Y551" s="397"/>
      <c r="Z551" s="397"/>
      <c r="AA551" s="397"/>
      <c r="AB551" s="397"/>
      <c r="AC551" s="397"/>
      <c r="AD551" s="762"/>
      <c r="AG551" s="909" t="str">
        <f>'Talnagögn | Numerical Data'!$E$185</f>
        <v>Wetlands</v>
      </c>
      <c r="AH551" s="904" cm="1">
        <f t="array" ref="AH551">INDEX('Talnagögn | Numerical Data'!$1:$1048576,_xlfn.XMATCH($A551,'Talnagögn | Numerical Data'!$A:$A),_xlfn.XMATCH($A$1,'Talnagögn | Numerical Data'!$1:$1))</f>
        <v>17.217344451352297</v>
      </c>
      <c r="AI551" s="924">
        <f>$F551/$F$553</f>
        <v>2.7465473961362685E-3</v>
      </c>
      <c r="AJ551" s="1060" cm="1">
        <f t="array" ref="AJ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Data'!$A:$A),_xlfn.XMATCH($B$3,'Talnagögn | Numerical Data'!$1:$1))</f>
        <v>6.7826666666665147E-2</v>
      </c>
      <c r="AK551" s="924" cm="1">
        <f t="array" ref="AK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Data'!$A:$A),_xlfn.XMATCH($B$3,'Talnagögn | Numerical Data'!$1:$1))-1</f>
        <v>3.9550188826436017E-3</v>
      </c>
      <c r="AL551" s="916" cm="1">
        <f t="array" ref="AL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Data'!$A:$A),_xlfn.XMATCH($B$2,'Talnagögn | Numerical Data'!$1:$1))</f>
        <v>-2.2265922599370782</v>
      </c>
      <c r="AM551" s="920" cm="1">
        <f t="array" ref="AM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Data'!$A:$A),_xlfn.XMATCH($B$2,'Talnagögn | Numerical Data'!$1:$1))-1</f>
        <v>-0.11451344925661544</v>
      </c>
      <c r="AN551" s="904" cm="1">
        <f t="array" ref="AN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Data'!$A:$A),_xlfn.XMATCH($B$1,'Talnagögn | Numerical Data'!$1:$1))</f>
        <v>14.558818533148811</v>
      </c>
      <c r="AO551" s="905" cm="1">
        <f t="array" ref="AO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Data'!$A:$A),_xlfn.XMATCH($B$1,'Talnagögn | Numerical Data'!$1:$1))-1</f>
        <v>5.4762748158524692</v>
      </c>
      <c r="AP551" s="397"/>
      <c r="AQ551" s="909" t="str">
        <f>'Talnagögn | Numerical Data'!$E$185</f>
        <v>Wetlands</v>
      </c>
      <c r="AR551" s="904" cm="1">
        <f t="array" ref="AR551">INDEX('Talnagögn | Numerical Data'!$1:$1048576,_xlfn.XMATCH($B551,'Talnagögn | Numerical Data'!$B:$B),_xlfn.XMATCH($B$4,'Talnagögn | Numerical Data'!$1:$1))-INDEX('Talnagögn | Numerical Data'!$1:$1048576,_xlfn.XMATCH($A551,'Talnagögn | Numerical Data'!$A:$A),_xlfn.XMATCH($B$2,'Talnagögn | Numerical Data'!$1:$1))</f>
        <v>10.466342135460096</v>
      </c>
      <c r="AS551" s="920" cm="1">
        <f t="array" ref="AS551">INDEX('Talnagögn | Numerical Data'!$1:$1048576,_xlfn.XMATCH($B551,'Talnagögn | Numerical Data'!$B:$B),_xlfn.XMATCH($B$4,'Talnagögn | Numerical Data'!$1:$1))/INDEX('Talnagögn | Numerical Data'!$1:$1048576,_xlfn.XMATCH($A551,'Talnagögn | Numerical Data'!$A:$A),_xlfn.XMATCH($B$2,'Talnagögn | Numerical Data'!$1:$1))-1</f>
        <v>0.53828307975222001</v>
      </c>
      <c r="AT551" s="904" cm="1">
        <f t="array" ref="AT551">INDEX('Talnagögn | Numerical Data'!$1:$1048576,_xlfn.XMATCH($B551,'Talnagögn | Numerical Data'!$B:$B),_xlfn.XMATCH($B$5,'Talnagögn | Numerical Data'!$1:$1))-INDEX('Talnagögn | Numerical Data'!$1:$1048576,_xlfn.XMATCH($A551,'Talnagögn | Numerical Data'!$A:$A),_xlfn.XMATCH($B$1,'Talnagögn | Numerical Data'!$1:$1))</f>
        <v>81.550660661540064</v>
      </c>
      <c r="AU551" s="905" cm="1">
        <f t="array" ref="AU551">INDEX('Talnagögn | Numerical Data'!$1:$1048576,_xlfn.XMATCH($B551,'Talnagögn | Numerical Data'!$B:$B),_xlfn.XMATCH($B$5,'Talnagögn | Numerical Data'!$1:$1))/INDEX('Talnagögn | Numerical Data'!$1:$1048576,_xlfn.XMATCH($A551,'Talnagögn | Numerical Data'!$A:$A),_xlfn.XMATCH($B$1,'Talnagögn | Numerical Data'!$1:$1))-1</f>
        <v>30.675142229438332</v>
      </c>
      <c r="AY551" s="397"/>
      <c r="AZ551" s="397"/>
      <c r="BA551" s="397"/>
      <c r="BB551" s="397"/>
      <c r="BC551" s="397"/>
    </row>
    <row r="552" spans="1:55" s="40" customFormat="1" ht="21" customHeight="1" x14ac:dyDescent="0.4">
      <c r="A552" s="50" t="s">
        <v>97</v>
      </c>
      <c r="B552" s="50" t="s">
        <v>330</v>
      </c>
      <c r="C552" s="50" t="s">
        <v>335</v>
      </c>
      <c r="D552" s="245" t="s">
        <v>48</v>
      </c>
      <c r="E552" s="910" t="str">
        <f>'Talnagögn | Numerical Data'!$D$186</f>
        <v>Önnur losun</v>
      </c>
      <c r="F552" s="911" cm="1">
        <f t="array" ref="F552">INDEX('Talnagögn | Numerical Data'!$1:$1048576,_xlfn.XMATCH($A552,'Talnagögn | Numerical Data'!$A:$A),_xlfn.XMATCH($A$1,'Talnagögn | Numerical Data'!$1:$1))</f>
        <v>35.557848980364724</v>
      </c>
      <c r="G552" s="922">
        <f>$F552/$F$553</f>
        <v>5.6722636760372655E-3</v>
      </c>
      <c r="H552" s="917" cm="1">
        <f t="array" ref="H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Data'!$A:$A),_xlfn.XMATCH($B$3,'Talnagögn | Numerical Data'!$1:$1))</f>
        <v>4.712263583346612</v>
      </c>
      <c r="I552" s="925" cm="1">
        <f t="array" ref="I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Data'!$A:$A),_xlfn.XMATCH($B$3,'Talnagögn | Numerical Data'!$1:$1))-1</f>
        <v>0.15276946515017853</v>
      </c>
      <c r="J552" s="911" cm="1">
        <f t="array" ref="J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Data'!$A:$A),_xlfn.XMATCH($B$2,'Talnagögn | Numerical Data'!$1:$1))</f>
        <v>-18.115069850681721</v>
      </c>
      <c r="K552" s="925" cm="1">
        <f t="array" ref="K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Data'!$A:$A),_xlfn.XMATCH($B$2,'Talnagögn | Numerical Data'!$1:$1))-1</f>
        <v>-0.33750856568290977</v>
      </c>
      <c r="L552" s="917" cm="1">
        <f t="array" ref="L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Data'!$A:$A),_xlfn.XMATCH($B$1,'Talnagögn | Numerical Data'!$1:$1))</f>
        <v>9.2803613757914718</v>
      </c>
      <c r="M552" s="912" cm="1">
        <f t="array" ref="M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Data'!$A:$A),_xlfn.XMATCH($B$1,'Talnagögn | Numerical Data'!$1:$1))-1</f>
        <v>0.35316775771882947</v>
      </c>
      <c r="N552" s="397"/>
      <c r="O552" s="933" t="str">
        <f>'Talnagögn | Numerical Data'!$D$186</f>
        <v>Önnur losun</v>
      </c>
      <c r="P552" s="911" cm="1">
        <f t="array" ref="P552">INDEX('Talnagögn | Numerical Data'!$1:$1048576,_xlfn.XMATCH($B552,'Talnagögn | Numerical Data'!$B:$B),_xlfn.XMATCH($B$4,'Talnagögn | Numerical Data'!$1:$1))-INDEX('Talnagögn | Numerical Data'!$1:$1048576,_xlfn.XMATCH($A552,'Talnagögn | Numerical Data'!$A:$A),_xlfn.XMATCH($B$2,'Talnagögn | Numerical Data'!$1:$1))</f>
        <v>-19.080902317597975</v>
      </c>
      <c r="Q552" s="925" cm="1">
        <f t="array" ref="Q552">INDEX('Talnagögn | Numerical Data'!$1:$1048576,_xlfn.XMATCH($B552,'Talnagögn | Numerical Data'!$B:$B),_xlfn.XMATCH($B$4,'Talnagögn | Numerical Data'!$1:$1))/INDEX('Talnagögn | Numerical Data'!$1:$1048576,_xlfn.XMATCH($A552,'Talnagögn | Numerical Data'!$A:$A),_xlfn.XMATCH($B$2,'Talnagögn | Numerical Data'!$1:$1))-1</f>
        <v>-0.35550334755710844</v>
      </c>
      <c r="R552" s="917" cm="1">
        <f t="array" ref="R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Data'!$A:$A),_xlfn.XMATCH($B$1,'Talnagögn | Numerical Data'!$1:$1))</f>
        <v>-3.5591075303455</v>
      </c>
      <c r="S552" s="912" cm="1">
        <f t="array" ref="S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Data'!$A:$A),_xlfn.XMATCH($B$1,'Talnagögn | Numerical Data'!$1:$1))-1</f>
        <v>-0.13544321983529672</v>
      </c>
      <c r="U552" s="397"/>
      <c r="V552" s="397"/>
      <c r="W552" s="397"/>
      <c r="X552" s="397"/>
      <c r="Y552" s="397"/>
      <c r="Z552" s="397"/>
      <c r="AA552" s="397"/>
      <c r="AB552" s="397"/>
      <c r="AC552" s="397"/>
      <c r="AD552" s="762"/>
      <c r="AG552" s="910" t="str">
        <f>'Talnagögn | Numerical Data'!$E$186</f>
        <v>Other Emissions</v>
      </c>
      <c r="AH552" s="911" cm="1">
        <f t="array" ref="AH552">INDEX('Talnagögn | Numerical Data'!$1:$1048576,_xlfn.XMATCH($A552,'Talnagögn | Numerical Data'!$A:$A),_xlfn.XMATCH($A$1,'Talnagögn | Numerical Data'!$1:$1))</f>
        <v>35.557848980364724</v>
      </c>
      <c r="AI552" s="922">
        <f>$F552/$F$553</f>
        <v>5.6722636760372655E-3</v>
      </c>
      <c r="AJ552" s="917" cm="1">
        <f t="array" ref="AJ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Data'!$A:$A),_xlfn.XMATCH($B$3,'Talnagögn | Numerical Data'!$1:$1))</f>
        <v>4.712263583346612</v>
      </c>
      <c r="AK552" s="925" cm="1">
        <f t="array" ref="AK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Data'!$A:$A),_xlfn.XMATCH($B$3,'Talnagögn | Numerical Data'!$1:$1))-1</f>
        <v>0.15276946515017853</v>
      </c>
      <c r="AL552" s="911" cm="1">
        <f t="array" ref="AL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Data'!$A:$A),_xlfn.XMATCH($B$2,'Talnagögn | Numerical Data'!$1:$1))</f>
        <v>-18.115069850681721</v>
      </c>
      <c r="AM552" s="925" cm="1">
        <f t="array" ref="AM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Data'!$A:$A),_xlfn.XMATCH($B$2,'Talnagögn | Numerical Data'!$1:$1))-1</f>
        <v>-0.33750856568290977</v>
      </c>
      <c r="AN552" s="917" cm="1">
        <f t="array" ref="AN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Data'!$A:$A),_xlfn.XMATCH($B$1,'Talnagögn | Numerical Data'!$1:$1))</f>
        <v>9.2803613757914718</v>
      </c>
      <c r="AO552" s="912" cm="1">
        <f t="array" ref="AO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Data'!$A:$A),_xlfn.XMATCH($B$1,'Talnagögn | Numerical Data'!$1:$1))-1</f>
        <v>0.35316775771882947</v>
      </c>
      <c r="AP552" s="397"/>
      <c r="AQ552" s="910" t="str">
        <f>'Talnagögn | Numerical Data'!$E$186</f>
        <v>Other Emissions</v>
      </c>
      <c r="AR552" s="911" cm="1">
        <f t="array" ref="AR552">INDEX('Talnagögn | Numerical Data'!$1:$1048576,_xlfn.XMATCH($B552,'Talnagögn | Numerical Data'!$B:$B),_xlfn.XMATCH($B$4,'Talnagögn | Numerical Data'!$1:$1))-INDEX('Talnagögn | Numerical Data'!$1:$1048576,_xlfn.XMATCH($A552,'Talnagögn | Numerical Data'!$A:$A),_xlfn.XMATCH($B$2,'Talnagögn | Numerical Data'!$1:$1))</f>
        <v>-19.080902317597975</v>
      </c>
      <c r="AS552" s="925" cm="1">
        <f t="array" ref="AS552">INDEX('Talnagögn | Numerical Data'!$1:$1048576,_xlfn.XMATCH($B552,'Talnagögn | Numerical Data'!$B:$B),_xlfn.XMATCH($B$4,'Talnagögn | Numerical Data'!$1:$1))/INDEX('Talnagögn | Numerical Data'!$1:$1048576,_xlfn.XMATCH($A552,'Talnagögn | Numerical Data'!$A:$A),_xlfn.XMATCH($B$2,'Talnagögn | Numerical Data'!$1:$1))-1</f>
        <v>-0.35550334755710844</v>
      </c>
      <c r="AT552" s="917" cm="1">
        <f t="array" ref="AT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Data'!$A:$A),_xlfn.XMATCH($B$1,'Talnagögn | Numerical Data'!$1:$1))</f>
        <v>-3.5591075303455</v>
      </c>
      <c r="AU552" s="912" cm="1">
        <f t="array" ref="AU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Data'!$A:$A),_xlfn.XMATCH($B$1,'Talnagögn | Numerical Data'!$1:$1))-1</f>
        <v>-0.13544321983529672</v>
      </c>
      <c r="AY552" s="397"/>
      <c r="AZ552" s="397"/>
      <c r="BA552" s="397"/>
      <c r="BB552" s="397"/>
      <c r="BC552" s="397"/>
    </row>
    <row r="553" spans="1:55" ht="29.25" customHeight="1" x14ac:dyDescent="0.4">
      <c r="A553" s="50" t="s">
        <v>45</v>
      </c>
      <c r="B553" s="50" t="s">
        <v>269</v>
      </c>
      <c r="C553" s="50" t="s">
        <v>276</v>
      </c>
      <c r="D553" s="245" t="s">
        <v>48</v>
      </c>
      <c r="E553" s="913" t="s">
        <v>12</v>
      </c>
      <c r="F553" s="914" cm="1">
        <f t="array" ref="F553">INDEX('Talnagögn | Numerical Data'!$1:$1048576,_xlfn.XMATCH($A553,'Talnagögn | Numerical Data'!$A:$A),_xlfn.XMATCH($A$1,'Talnagögn | Numerical Data'!$1:$1))</f>
        <v>6268.7228611357514</v>
      </c>
      <c r="G553" s="923">
        <f>SUM(G548:G552)</f>
        <v>1</v>
      </c>
      <c r="H553" s="914" cm="1">
        <f t="array" ref="H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Data'!$A:$A),_xlfn.XMATCH($B$3,'Talnagögn | Numerical Data'!$1:$1))</f>
        <v>21.717931307933213</v>
      </c>
      <c r="I553" s="928" cm="1">
        <f t="array" ref="I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Data'!$A:$A),_xlfn.XMATCH($B$3,'Talnagögn | Numerical Data'!$1:$1))-1</f>
        <v>3.4765350038761245E-3</v>
      </c>
      <c r="J553" s="918" cm="1">
        <f t="array" ref="J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Data'!$A:$A),_xlfn.XMATCH($B$2,'Talnagögn | Numerical Data'!$1:$1))</f>
        <v>0.56860473866163375</v>
      </c>
      <c r="K553" s="926" cm="1">
        <f t="array" ref="K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Data'!$A:$A),_xlfn.XMATCH($B$2,'Talnagögn | Numerical Data'!$1:$1))-1</f>
        <v>9.0713265086250772E-5</v>
      </c>
      <c r="L553" s="1062" cm="1">
        <f t="array" ref="L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Data'!$A:$A),_xlfn.XMATCH($B$1,'Talnagögn | Numerical Data'!$1:$1))</f>
        <v>-1.2648763893921569</v>
      </c>
      <c r="M553" s="1063" cm="1">
        <f t="array" ref="M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Data'!$A:$A),_xlfn.XMATCH($B$1,'Talnagögn | Numerical Data'!$1:$1))-1</f>
        <v>-2.017350658952699E-4</v>
      </c>
      <c r="O553" s="932" t="s">
        <v>12</v>
      </c>
      <c r="P553" s="914" cm="1">
        <f t="array" ref="P553">INDEX('Talnagögn | Numerical Data'!$1:$1048576,_xlfn.XMATCH($B553,'Talnagögn | Numerical Data'!$B:$B),_xlfn.XMATCH($B$4,'Talnagögn | Numerical Data'!$1:$1))-INDEX('Talnagögn | Numerical Data'!$1:$1048576,_xlfn.XMATCH($A553,'Talnagögn | Numerical Data'!$A:$A),_xlfn.XMATCH($B$2,'Talnagögn | Numerical Data'!$1:$1))</f>
        <v>-142.44647878868727</v>
      </c>
      <c r="Q553" s="931" cm="1">
        <f t="array" ref="Q553">INDEX('Talnagögn | Numerical Data'!$1:$1048576,_xlfn.XMATCH($B553,'Talnagögn | Numerical Data'!$B:$B),_xlfn.XMATCH($B$4,'Talnagögn | Numerical Data'!$1:$1))/INDEX('Talnagögn | Numerical Data'!$1:$1048576,_xlfn.XMATCH($A553,'Talnagögn | Numerical Data'!$A:$A),_xlfn.XMATCH($B$2,'Talnagögn | Numerical Data'!$1:$1))-1</f>
        <v>-2.2725426491109535E-2</v>
      </c>
      <c r="R553" s="914" cm="1">
        <f t="array" ref="R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Data'!$A:$A),_xlfn.XMATCH($B$1,'Talnagögn | Numerical Data'!$1:$1))</f>
        <v>-1527.4280452954481</v>
      </c>
      <c r="S553" s="915" cm="1">
        <f t="array" ref="S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Data'!$A:$A),_xlfn.XMATCH($B$1,'Talnagögn | Numerical Data'!$1:$1))-1</f>
        <v>-0.24360941507970901</v>
      </c>
      <c r="U553" s="397"/>
      <c r="V553" s="397"/>
      <c r="W553" s="397"/>
      <c r="X553" s="397"/>
      <c r="Y553" s="397"/>
      <c r="Z553" s="397"/>
      <c r="AA553" s="397"/>
      <c r="AB553" s="397"/>
      <c r="AC553" s="397"/>
      <c r="AG553" s="913" t="s">
        <v>12</v>
      </c>
      <c r="AH553" s="914" cm="1">
        <f t="array" ref="AH553">INDEX('Talnagögn | Numerical Data'!$1:$1048576,_xlfn.XMATCH($A553,'Talnagögn | Numerical Data'!$A:$A),_xlfn.XMATCH($A$1,'Talnagögn | Numerical Data'!$1:$1))</f>
        <v>6268.7228611357514</v>
      </c>
      <c r="AI553" s="923">
        <f>SUM(AI548:AI552)</f>
        <v>1</v>
      </c>
      <c r="AJ553" s="914" cm="1">
        <f t="array" ref="AJ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Data'!$A:$A),_xlfn.XMATCH($B$3,'Talnagögn | Numerical Data'!$1:$1))</f>
        <v>21.717931307933213</v>
      </c>
      <c r="AK553" s="928" cm="1">
        <f t="array" ref="AK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Data'!$A:$A),_xlfn.XMATCH($B$3,'Talnagögn | Numerical Data'!$1:$1))-1</f>
        <v>3.4765350038761245E-3</v>
      </c>
      <c r="AL553" s="918" cm="1">
        <f t="array" ref="AL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Data'!$A:$A),_xlfn.XMATCH($B$2,'Talnagögn | Numerical Data'!$1:$1))</f>
        <v>0.56860473866163375</v>
      </c>
      <c r="AM553" s="926" cm="1">
        <f t="array" ref="AM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Data'!$A:$A),_xlfn.XMATCH($B$2,'Talnagögn | Numerical Data'!$1:$1))-1</f>
        <v>9.0713265086250772E-5</v>
      </c>
      <c r="AN553" s="1062" cm="1">
        <f t="array" ref="AN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Data'!$A:$A),_xlfn.XMATCH($B$1,'Talnagögn | Numerical Data'!$1:$1))</f>
        <v>-1.2648763893921569</v>
      </c>
      <c r="AO553" s="1063" cm="1">
        <f t="array" ref="AO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Data'!$A:$A),_xlfn.XMATCH($B$1,'Talnagögn | Numerical Data'!$1:$1))-1</f>
        <v>-2.017350658952699E-4</v>
      </c>
      <c r="AQ553" s="932" t="s">
        <v>12</v>
      </c>
      <c r="AR553" s="914" cm="1">
        <f t="array" ref="AR553">INDEX('Talnagögn | Numerical Data'!$1:$1048576,_xlfn.XMATCH($B553,'Talnagögn | Numerical Data'!$B:$B),_xlfn.XMATCH($B$4,'Talnagögn | Numerical Data'!$1:$1))-INDEX('Talnagögn | Numerical Data'!$1:$1048576,_xlfn.XMATCH($A553,'Talnagögn | Numerical Data'!$A:$A),_xlfn.XMATCH($B$2,'Talnagögn | Numerical Data'!$1:$1))</f>
        <v>-142.44647878868727</v>
      </c>
      <c r="AS553" s="931" cm="1">
        <f t="array" ref="AS553">INDEX('Talnagögn | Numerical Data'!$1:$1048576,_xlfn.XMATCH($B553,'Talnagögn | Numerical Data'!$B:$B),_xlfn.XMATCH($B$4,'Talnagögn | Numerical Data'!$1:$1))/INDEX('Talnagögn | Numerical Data'!$1:$1048576,_xlfn.XMATCH($A553,'Talnagögn | Numerical Data'!$A:$A),_xlfn.XMATCH($B$2,'Talnagögn | Numerical Data'!$1:$1))-1</f>
        <v>-2.2725426491109535E-2</v>
      </c>
      <c r="AT553" s="914" cm="1">
        <f t="array" ref="AT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Data'!$A:$A),_xlfn.XMATCH($B$1,'Talnagögn | Numerical Data'!$1:$1))</f>
        <v>-1527.4280452954481</v>
      </c>
      <c r="AU553" s="915" cm="1">
        <f t="array" ref="AU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Data'!$A:$A),_xlfn.XMATCH($B$1,'Talnagögn | Numerical Data'!$1:$1))-1</f>
        <v>-0.24360941507970901</v>
      </c>
      <c r="AY553" s="397"/>
      <c r="AZ553" s="397"/>
      <c r="BA553" s="397"/>
      <c r="BB553" s="397"/>
      <c r="BC553" s="397"/>
    </row>
    <row r="554" spans="1:55" s="40" customFormat="1" x14ac:dyDescent="0.4">
      <c r="A554" s="1035" t="str">
        <f>"LANDNOTKUN "&amp;$A$1</f>
        <v>LANDNOTKUN 2024</v>
      </c>
      <c r="B554" s="1035" t="str">
        <f>"LULUCF "&amp;$A$1</f>
        <v>LULUCF 2024</v>
      </c>
      <c r="C554" s="1038"/>
      <c r="D554" s="245" t="s">
        <v>48</v>
      </c>
      <c r="F554" s="397"/>
      <c r="G554" s="397"/>
      <c r="H554" s="240"/>
      <c r="I554" s="397"/>
      <c r="J554" s="397"/>
      <c r="K554" s="397"/>
      <c r="L554" s="397"/>
      <c r="M554" s="397"/>
      <c r="N554" s="397"/>
      <c r="O554" s="397"/>
      <c r="P554" s="397"/>
      <c r="Q554" s="397"/>
      <c r="T554" s="397"/>
      <c r="U554" s="397"/>
      <c r="V554" s="397"/>
      <c r="W554" s="397"/>
      <c r="X554" s="397"/>
      <c r="Y554" s="397"/>
      <c r="Z554" s="397"/>
      <c r="AA554" s="397"/>
      <c r="AB554" s="397"/>
      <c r="AC554" s="397"/>
      <c r="AD554" s="762"/>
      <c r="AH554" s="397"/>
      <c r="AI554" s="397"/>
      <c r="AJ554" s="397"/>
      <c r="AK554" s="397"/>
      <c r="AL554" s="397"/>
      <c r="AM554" s="397"/>
      <c r="AN554" s="397"/>
      <c r="AO554" s="397"/>
      <c r="AP554" s="397"/>
      <c r="AQ554" s="397"/>
      <c r="AR554" s="397"/>
      <c r="AS554" s="397"/>
      <c r="AT554" s="397"/>
      <c r="AU554" s="397"/>
      <c r="AV554" s="397"/>
      <c r="AW554" s="397"/>
      <c r="AX554" s="397"/>
      <c r="AY554" s="397"/>
      <c r="AZ554" s="397"/>
      <c r="BA554" s="397"/>
      <c r="BB554" s="397"/>
      <c r="BC554" s="397"/>
    </row>
    <row r="555" spans="1:55" s="40" customFormat="1" ht="17.399999999999999" thickBot="1" x14ac:dyDescent="0.45">
      <c r="A555" s="50"/>
      <c r="B555" s="1038" t="s">
        <v>48</v>
      </c>
      <c r="C555" s="1038"/>
      <c r="D555" s="245" t="s">
        <v>48</v>
      </c>
      <c r="F555" s="397"/>
      <c r="G555" s="397"/>
      <c r="H555" s="240"/>
      <c r="I555" s="397"/>
      <c r="J555" s="397"/>
      <c r="K555" s="397"/>
      <c r="L555" s="397"/>
      <c r="M555" s="397"/>
      <c r="N555" s="397"/>
      <c r="O555" s="397"/>
      <c r="P555" s="397"/>
      <c r="Q555" s="397"/>
      <c r="R555" s="397"/>
      <c r="S555" s="397"/>
      <c r="T555" s="397"/>
      <c r="U555" s="397"/>
      <c r="V555" s="397"/>
      <c r="W555" s="397"/>
      <c r="X555" s="397"/>
      <c r="Y555" s="397"/>
      <c r="Z555" s="397"/>
      <c r="AA555" s="397"/>
      <c r="AB555" s="397"/>
      <c r="AC555" s="397"/>
      <c r="AD555" s="762"/>
      <c r="AH555" s="397"/>
      <c r="AI555" s="397"/>
      <c r="AJ555" s="397"/>
      <c r="AK555" s="397"/>
      <c r="AL555" s="397"/>
      <c r="AM555" s="397"/>
      <c r="AN555" s="397"/>
      <c r="AO555" s="397"/>
      <c r="AP555" s="397"/>
      <c r="AQ555" s="397"/>
      <c r="AR555" s="397"/>
      <c r="AS555" s="397"/>
      <c r="AT555" s="397"/>
      <c r="AU555" s="397"/>
      <c r="AV555" s="907"/>
      <c r="AW555" s="397"/>
      <c r="AX555" s="397"/>
      <c r="AY555" s="397"/>
      <c r="AZ555" s="397"/>
      <c r="BA555" s="397"/>
      <c r="BB555" s="397"/>
      <c r="BC555" s="397"/>
    </row>
    <row r="556" spans="1:55" s="40" customFormat="1" ht="17.399999999999999" thickTop="1" x14ac:dyDescent="0.4">
      <c r="A556" s="50"/>
      <c r="B556" s="129"/>
      <c r="C556" s="1038"/>
      <c r="D556" s="245" t="s">
        <v>48</v>
      </c>
      <c r="F556" s="397"/>
      <c r="G556" s="397"/>
      <c r="H556" s="240"/>
      <c r="I556" s="397"/>
      <c r="J556" s="397"/>
      <c r="K556" s="397"/>
      <c r="L556" s="397"/>
      <c r="M556" s="397"/>
      <c r="N556" s="397"/>
      <c r="O556" s="397"/>
      <c r="P556" s="397"/>
      <c r="Q556" s="397"/>
      <c r="R556" s="397"/>
      <c r="S556" s="397"/>
      <c r="T556" s="397"/>
      <c r="U556" s="397"/>
      <c r="V556" s="397"/>
      <c r="W556" s="397"/>
      <c r="X556" s="397"/>
      <c r="Y556" s="397"/>
      <c r="Z556" s="397"/>
      <c r="AA556" s="397"/>
      <c r="AB556" s="397"/>
      <c r="AC556" s="397"/>
      <c r="AD556" s="762"/>
      <c r="AH556" s="397"/>
      <c r="AI556" s="397"/>
      <c r="AJ556" s="397"/>
      <c r="AK556" s="397"/>
      <c r="AL556" s="397"/>
      <c r="AM556" s="397"/>
      <c r="AN556" s="397"/>
      <c r="AO556" s="397"/>
      <c r="AP556" s="397"/>
      <c r="AQ556" s="397"/>
      <c r="AR556" s="397"/>
      <c r="AS556" s="397"/>
      <c r="AT556" s="397"/>
      <c r="AU556" s="397"/>
      <c r="AV556" s="397"/>
      <c r="AW556" s="397"/>
      <c r="AX556" s="397"/>
      <c r="AY556" s="397"/>
      <c r="AZ556" s="397"/>
      <c r="BA556" s="397"/>
      <c r="BB556" s="397"/>
      <c r="BC556" s="397"/>
    </row>
    <row r="557" spans="1:55" s="40" customFormat="1" x14ac:dyDescent="0.4">
      <c r="A557" s="50"/>
      <c r="B557" s="129"/>
      <c r="C557" s="1038"/>
      <c r="D557" s="245" t="s">
        <v>48</v>
      </c>
      <c r="F557" s="397"/>
      <c r="G557" s="397"/>
      <c r="H557" s="240"/>
      <c r="I557" s="397"/>
      <c r="J557" s="397"/>
      <c r="K557" s="397"/>
      <c r="L557" s="397"/>
      <c r="M557" s="397"/>
      <c r="N557" s="397"/>
      <c r="O557" s="397"/>
      <c r="P557" s="397"/>
      <c r="Q557" s="397"/>
      <c r="R557" s="397"/>
      <c r="S557" s="397"/>
      <c r="T557" s="397"/>
      <c r="U557" s="397"/>
      <c r="V557" s="397"/>
      <c r="W557" s="397"/>
      <c r="X557" s="397"/>
      <c r="Y557" s="397"/>
      <c r="Z557" s="397"/>
      <c r="AA557" s="397"/>
      <c r="AB557" s="397"/>
      <c r="AC557" s="397"/>
      <c r="AD557" s="762"/>
      <c r="AH557" s="397"/>
      <c r="AI557" s="397"/>
      <c r="AJ557" s="397"/>
      <c r="AK557" s="397"/>
      <c r="AL557" s="397"/>
      <c r="AM557" s="397"/>
      <c r="AN557" s="397"/>
      <c r="AO557" s="397"/>
      <c r="AP557" s="397"/>
      <c r="AQ557" s="397"/>
      <c r="AR557" s="397"/>
      <c r="AS557" s="397"/>
      <c r="AT557" s="397"/>
      <c r="AU557" s="397"/>
      <c r="AV557" s="397"/>
      <c r="AW557" s="397"/>
      <c r="AX557" s="397"/>
      <c r="AY557" s="397"/>
      <c r="AZ557" s="397"/>
      <c r="BA557" s="397"/>
      <c r="BB557" s="397"/>
      <c r="BC557" s="397"/>
    </row>
    <row r="558" spans="1:55" s="40" customFormat="1" x14ac:dyDescent="0.4">
      <c r="A558" s="50"/>
      <c r="B558" s="129"/>
      <c r="C558" s="1038"/>
      <c r="D558" s="245" t="s">
        <v>48</v>
      </c>
      <c r="F558" s="397"/>
      <c r="G558" s="397"/>
      <c r="H558" s="240"/>
      <c r="I558" s="397"/>
      <c r="J558" s="397"/>
      <c r="K558" s="397"/>
      <c r="L558" s="397"/>
      <c r="M558" s="397"/>
      <c r="N558" s="397"/>
      <c r="O558" s="397"/>
      <c r="P558" s="397"/>
      <c r="Q558" s="397"/>
      <c r="R558" s="397"/>
      <c r="S558" s="397"/>
      <c r="T558" s="397"/>
      <c r="U558" s="397"/>
      <c r="V558" s="397"/>
      <c r="W558" s="397"/>
      <c r="X558" s="397"/>
      <c r="Y558" s="397"/>
      <c r="Z558" s="397"/>
      <c r="AA558" s="397"/>
      <c r="AB558" s="397"/>
      <c r="AC558" s="397"/>
      <c r="AD558" s="762"/>
      <c r="AH558" s="397"/>
      <c r="AI558" s="397"/>
      <c r="AJ558" s="397"/>
      <c r="AK558" s="397"/>
      <c r="AL558" s="397"/>
      <c r="AM558" s="397"/>
      <c r="AN558" s="397"/>
      <c r="AO558" s="397"/>
      <c r="AP558" s="397"/>
      <c r="AQ558" s="397"/>
      <c r="AR558" s="397"/>
      <c r="AS558" s="397"/>
      <c r="AT558" s="397"/>
      <c r="AU558" s="397"/>
      <c r="AV558" s="397"/>
      <c r="AW558" s="397"/>
      <c r="AX558" s="397"/>
      <c r="AY558" s="397"/>
      <c r="AZ558" s="397"/>
      <c r="BA558" s="397"/>
      <c r="BB558" s="397"/>
      <c r="BC558" s="397"/>
    </row>
    <row r="559" spans="1:55" s="40" customFormat="1" x14ac:dyDescent="0.4">
      <c r="A559" s="50"/>
      <c r="B559" s="129"/>
      <c r="C559" s="1038"/>
      <c r="D559" s="245" t="s">
        <v>48</v>
      </c>
      <c r="F559" s="397"/>
      <c r="G559" s="397"/>
      <c r="H559" s="240"/>
      <c r="I559" s="397"/>
      <c r="J559" s="397"/>
      <c r="K559" s="397"/>
      <c r="L559" s="397"/>
      <c r="M559" s="397"/>
      <c r="N559" s="397"/>
      <c r="O559" s="397"/>
      <c r="P559" s="397"/>
      <c r="Q559" s="397"/>
      <c r="R559" s="397"/>
      <c r="S559" s="397"/>
      <c r="T559" s="397"/>
      <c r="U559" s="397"/>
      <c r="V559" s="397"/>
      <c r="W559" s="397"/>
      <c r="X559" s="397"/>
      <c r="Y559" s="397"/>
      <c r="Z559" s="397"/>
      <c r="AA559" s="397"/>
      <c r="AB559" s="397"/>
      <c r="AC559" s="397"/>
      <c r="AD559" s="762"/>
      <c r="AH559" s="397"/>
      <c r="AI559" s="397"/>
      <c r="AJ559" s="397"/>
      <c r="AK559" s="397"/>
      <c r="AL559" s="397"/>
      <c r="AM559" s="397"/>
      <c r="AN559" s="397"/>
      <c r="AO559" s="397"/>
      <c r="AP559" s="397"/>
      <c r="AQ559" s="397"/>
      <c r="AR559" s="397"/>
      <c r="AS559" s="397"/>
      <c r="AT559" s="397"/>
      <c r="AU559" s="397"/>
      <c r="AV559" s="397"/>
      <c r="AW559" s="397"/>
      <c r="AX559" s="397"/>
      <c r="AY559" s="397"/>
      <c r="AZ559" s="397"/>
      <c r="BA559" s="397"/>
      <c r="BB559" s="397"/>
      <c r="BC559" s="397"/>
    </row>
    <row r="560" spans="1:55" s="40" customFormat="1" x14ac:dyDescent="0.4">
      <c r="A560" s="50"/>
      <c r="B560" s="129"/>
      <c r="C560" s="1038"/>
      <c r="D560" s="245" t="s">
        <v>48</v>
      </c>
      <c r="F560" s="397"/>
      <c r="G560" s="397"/>
      <c r="H560" s="240"/>
      <c r="I560" s="397"/>
      <c r="J560" s="397"/>
      <c r="K560" s="397"/>
      <c r="L560" s="397"/>
      <c r="M560" s="397"/>
      <c r="N560" s="397"/>
      <c r="O560" s="397"/>
      <c r="P560" s="397"/>
      <c r="Q560" s="397"/>
      <c r="R560" s="397"/>
      <c r="S560" s="397"/>
      <c r="T560" s="397"/>
      <c r="U560" s="397"/>
      <c r="V560" s="397"/>
      <c r="W560" s="397"/>
      <c r="X560" s="397"/>
      <c r="Y560" s="397"/>
      <c r="Z560" s="397"/>
      <c r="AA560" s="397"/>
      <c r="AB560" s="397"/>
      <c r="AC560" s="397"/>
      <c r="AD560" s="762"/>
      <c r="AH560" s="397"/>
      <c r="AI560" s="397"/>
      <c r="AJ560" s="397"/>
      <c r="AK560" s="397"/>
      <c r="AL560" s="397"/>
      <c r="AM560" s="397"/>
      <c r="AN560" s="397"/>
      <c r="AO560" s="397"/>
      <c r="AP560" s="397"/>
      <c r="AQ560" s="397"/>
      <c r="AR560" s="397"/>
      <c r="AS560" s="397"/>
      <c r="AT560" s="397"/>
      <c r="AU560" s="397"/>
      <c r="AV560" s="397"/>
      <c r="AW560" s="397"/>
      <c r="AX560" s="397"/>
      <c r="AY560" s="397"/>
      <c r="AZ560" s="397"/>
      <c r="BA560" s="397"/>
      <c r="BB560" s="397"/>
      <c r="BC560" s="397"/>
    </row>
    <row r="561" spans="1:55" s="40" customFormat="1" x14ac:dyDescent="0.4">
      <c r="A561" s="50"/>
      <c r="B561" s="129"/>
      <c r="C561" s="1038"/>
      <c r="D561" s="245" t="s">
        <v>48</v>
      </c>
      <c r="F561" s="397"/>
      <c r="G561" s="397"/>
      <c r="H561" s="240"/>
      <c r="I561" s="397"/>
      <c r="J561" s="397"/>
      <c r="K561" s="397"/>
      <c r="L561" s="397"/>
      <c r="M561" s="397"/>
      <c r="N561" s="397"/>
      <c r="O561" s="397"/>
      <c r="P561" s="397"/>
      <c r="Q561" s="397"/>
      <c r="R561" s="397"/>
      <c r="S561" s="397"/>
      <c r="T561" s="397"/>
      <c r="U561" s="397"/>
      <c r="V561" s="397"/>
      <c r="W561" s="397"/>
      <c r="X561" s="397"/>
      <c r="Y561" s="397"/>
      <c r="Z561" s="397"/>
      <c r="AA561" s="397"/>
      <c r="AB561" s="397"/>
      <c r="AC561" s="397"/>
      <c r="AD561" s="762"/>
      <c r="AH561" s="397"/>
      <c r="AI561" s="397"/>
      <c r="AJ561" s="397"/>
      <c r="AK561" s="397"/>
      <c r="AL561" s="397"/>
      <c r="AM561" s="397"/>
      <c r="AN561" s="397"/>
      <c r="AO561" s="397"/>
      <c r="AP561" s="397"/>
      <c r="AQ561" s="397"/>
      <c r="AR561" s="397"/>
      <c r="AS561" s="397"/>
      <c r="AT561" s="397"/>
      <c r="AU561" s="397"/>
      <c r="AV561" s="397"/>
      <c r="AW561" s="397"/>
      <c r="AX561" s="397"/>
      <c r="AY561" s="397"/>
      <c r="AZ561" s="397"/>
      <c r="BA561" s="397"/>
      <c r="BB561" s="397"/>
      <c r="BC561" s="397"/>
    </row>
    <row r="562" spans="1:55" s="40" customFormat="1" ht="15" customHeight="1" x14ac:dyDescent="0.4">
      <c r="A562" s="50"/>
      <c r="B562" s="1038"/>
      <c r="C562" s="1038"/>
      <c r="D562" s="245" t="s">
        <v>48</v>
      </c>
      <c r="F562" s="397"/>
      <c r="G562" s="397"/>
      <c r="H562" s="240"/>
      <c r="I562" s="397"/>
      <c r="J562" s="397"/>
      <c r="K562" s="397"/>
      <c r="L562" s="397"/>
      <c r="M562" s="397"/>
      <c r="N562" s="397"/>
      <c r="O562" s="397"/>
      <c r="P562" s="397"/>
      <c r="Q562" s="397"/>
      <c r="R562" s="397"/>
      <c r="S562" s="397"/>
      <c r="T562" s="397"/>
      <c r="U562" s="397"/>
      <c r="V562" s="397"/>
      <c r="W562" s="397"/>
      <c r="X562" s="397"/>
      <c r="Y562" s="397"/>
      <c r="Z562" s="397"/>
      <c r="AA562" s="397"/>
      <c r="AB562" s="397"/>
      <c r="AC562" s="397"/>
      <c r="AD562" s="762"/>
      <c r="AH562" s="397"/>
      <c r="AI562" s="397"/>
      <c r="AJ562" s="397"/>
      <c r="AK562" s="397"/>
      <c r="AL562" s="397"/>
      <c r="AM562" s="397"/>
      <c r="AN562" s="397"/>
      <c r="AO562" s="397"/>
      <c r="AP562" s="397"/>
      <c r="AQ562" s="397"/>
      <c r="AR562" s="397"/>
      <c r="AS562" s="397"/>
      <c r="AT562" s="397"/>
      <c r="AU562" s="397"/>
      <c r="AV562" s="397"/>
      <c r="AW562" s="397"/>
      <c r="AX562" s="397"/>
      <c r="AY562" s="397"/>
      <c r="AZ562" s="397"/>
      <c r="BA562" s="397"/>
      <c r="BB562" s="397"/>
      <c r="BC562" s="397"/>
    </row>
    <row r="563" spans="1:55" s="40" customFormat="1" ht="15" customHeight="1" x14ac:dyDescent="0.4">
      <c r="A563" s="50"/>
      <c r="B563" s="1038"/>
      <c r="C563" s="1038"/>
      <c r="D563" s="245" t="s">
        <v>48</v>
      </c>
      <c r="F563" s="397"/>
      <c r="G563" s="397"/>
      <c r="H563" s="240"/>
      <c r="I563" s="397"/>
      <c r="J563" s="397"/>
      <c r="K563" s="397"/>
      <c r="L563" s="397"/>
      <c r="M563" s="397"/>
      <c r="N563" s="397"/>
      <c r="O563" s="397"/>
      <c r="P563" s="397"/>
      <c r="Q563" s="397"/>
      <c r="R563" s="397"/>
      <c r="S563" s="397"/>
      <c r="T563" s="397"/>
      <c r="U563" s="397"/>
      <c r="V563" s="397"/>
      <c r="W563" s="397"/>
      <c r="X563" s="397"/>
      <c r="Y563" s="397"/>
      <c r="Z563" s="397"/>
      <c r="AA563" s="397"/>
      <c r="AB563" s="397"/>
      <c r="AC563" s="397"/>
      <c r="AD563" s="762"/>
      <c r="AH563" s="397"/>
      <c r="AI563" s="397"/>
      <c r="AJ563" s="397"/>
      <c r="AK563" s="397"/>
      <c r="AL563" s="397"/>
      <c r="AM563" s="397"/>
      <c r="AN563" s="397"/>
      <c r="AO563" s="397"/>
      <c r="AP563" s="397"/>
      <c r="AQ563" s="397"/>
      <c r="AR563" s="397"/>
      <c r="AS563" s="397"/>
      <c r="AT563" s="397"/>
      <c r="AU563" s="397"/>
      <c r="AV563" s="397"/>
      <c r="AW563" s="397"/>
      <c r="AX563" s="397"/>
      <c r="AY563" s="397"/>
      <c r="AZ563" s="397"/>
      <c r="BA563" s="397"/>
      <c r="BB563" s="397"/>
      <c r="BC563" s="397"/>
    </row>
    <row r="564" spans="1:55" s="40" customFormat="1" ht="15" customHeight="1" x14ac:dyDescent="0.4">
      <c r="A564" s="50"/>
      <c r="B564" s="1038"/>
      <c r="C564" s="1038"/>
      <c r="D564" s="245" t="s">
        <v>48</v>
      </c>
      <c r="F564" s="397"/>
      <c r="G564" s="397"/>
      <c r="H564" s="240"/>
      <c r="I564" s="397"/>
      <c r="J564" s="397"/>
      <c r="K564" s="397"/>
      <c r="L564" s="397"/>
      <c r="M564" s="397"/>
      <c r="N564" s="397"/>
      <c r="O564" s="397"/>
      <c r="P564" s="397"/>
      <c r="Q564" s="397"/>
      <c r="R564" s="397"/>
      <c r="S564" s="397"/>
      <c r="T564" s="397"/>
      <c r="U564" s="397"/>
      <c r="V564" s="397"/>
      <c r="W564" s="397"/>
      <c r="X564" s="397"/>
      <c r="Y564" s="397"/>
      <c r="Z564" s="397"/>
      <c r="AA564" s="397"/>
      <c r="AB564" s="397"/>
      <c r="AC564" s="397"/>
      <c r="AD564" s="762"/>
      <c r="AH564" s="397"/>
      <c r="AI564" s="397"/>
      <c r="AJ564" s="397"/>
      <c r="AK564" s="397"/>
      <c r="AL564" s="397"/>
      <c r="AM564" s="397"/>
      <c r="AN564" s="397"/>
      <c r="AO564" s="397"/>
      <c r="AP564" s="397"/>
      <c r="AQ564" s="397"/>
      <c r="AR564" s="397"/>
      <c r="AS564" s="397"/>
      <c r="AT564" s="397"/>
      <c r="AU564" s="397"/>
      <c r="AV564" s="397"/>
      <c r="AW564" s="397"/>
      <c r="AX564" s="397"/>
      <c r="AY564" s="397"/>
      <c r="AZ564" s="397"/>
      <c r="BA564" s="397"/>
      <c r="BB564" s="397"/>
      <c r="BC564" s="397"/>
    </row>
    <row r="565" spans="1:55" s="40" customFormat="1" x14ac:dyDescent="0.4">
      <c r="A565" s="50"/>
      <c r="B565" s="1038"/>
      <c r="C565" s="1038"/>
      <c r="D565" s="245" t="s">
        <v>48</v>
      </c>
      <c r="F565" s="397"/>
      <c r="G565" s="397"/>
      <c r="H565" s="240"/>
      <c r="I565" s="397"/>
      <c r="J565" s="397"/>
      <c r="K565" s="397"/>
      <c r="L565" s="397"/>
      <c r="M565" s="397"/>
      <c r="N565" s="397"/>
      <c r="O565" s="397"/>
      <c r="P565" s="397"/>
      <c r="Q565" s="397"/>
      <c r="R565" s="397"/>
      <c r="S565" s="397"/>
      <c r="T565" s="397"/>
      <c r="U565" s="397"/>
      <c r="V565" s="397"/>
      <c r="W565" s="397"/>
      <c r="X565" s="397"/>
      <c r="Y565" s="397"/>
      <c r="Z565" s="397"/>
      <c r="AA565" s="397"/>
      <c r="AB565" s="397"/>
      <c r="AC565" s="397"/>
      <c r="AD565" s="762"/>
      <c r="AH565" s="397"/>
      <c r="AI565" s="397"/>
      <c r="AJ565" s="397"/>
      <c r="AK565" s="397"/>
      <c r="AL565" s="397"/>
      <c r="AM565" s="397"/>
      <c r="AN565" s="397"/>
      <c r="AO565" s="397"/>
      <c r="AP565" s="397"/>
      <c r="AQ565" s="397"/>
      <c r="AR565" s="397"/>
      <c r="AS565" s="397"/>
      <c r="AT565" s="397"/>
      <c r="AU565" s="397"/>
      <c r="AV565" s="397"/>
      <c r="AW565" s="397"/>
      <c r="AX565" s="397"/>
      <c r="AY565" s="397"/>
      <c r="AZ565" s="397"/>
      <c r="BA565" s="397"/>
      <c r="BB565" s="397"/>
      <c r="BC565" s="397"/>
    </row>
    <row r="566" spans="1:55" s="40" customFormat="1" x14ac:dyDescent="0.4">
      <c r="A566" s="50"/>
      <c r="B566" s="1038"/>
      <c r="C566" s="1038"/>
      <c r="D566" s="245" t="s">
        <v>48</v>
      </c>
      <c r="F566" s="397"/>
      <c r="G566" s="397"/>
      <c r="H566" s="240"/>
      <c r="I566" s="397"/>
      <c r="J566" s="397"/>
      <c r="K566" s="397"/>
      <c r="L566" s="397"/>
      <c r="M566" s="397"/>
      <c r="N566" s="397"/>
      <c r="O566" s="397"/>
      <c r="P566" s="397"/>
      <c r="Q566" s="397"/>
      <c r="R566" s="397"/>
      <c r="S566" s="397"/>
      <c r="T566" s="397"/>
      <c r="U566" s="397"/>
      <c r="V566" s="397"/>
      <c r="W566" s="397"/>
      <c r="X566" s="397"/>
      <c r="Y566" s="397"/>
      <c r="Z566" s="397"/>
      <c r="AA566" s="397"/>
      <c r="AB566" s="397"/>
      <c r="AC566" s="397"/>
      <c r="AD566" s="762"/>
      <c r="AH566" s="397"/>
      <c r="AI566" s="397"/>
      <c r="AJ566" s="397"/>
      <c r="AK566" s="397"/>
      <c r="AL566" s="397"/>
      <c r="AM566" s="397"/>
      <c r="AN566" s="397"/>
      <c r="AO566" s="397"/>
      <c r="AP566" s="397"/>
      <c r="AQ566" s="397"/>
      <c r="AR566" s="397"/>
      <c r="AS566" s="397"/>
      <c r="AT566" s="397"/>
      <c r="AU566" s="397"/>
      <c r="AV566" s="397"/>
      <c r="AW566" s="397"/>
      <c r="AX566" s="397"/>
      <c r="AY566" s="397"/>
      <c r="AZ566" s="397"/>
      <c r="BA566" s="397"/>
      <c r="BB566" s="397"/>
      <c r="BC566" s="397"/>
    </row>
    <row r="567" spans="1:55" s="40" customFormat="1" x14ac:dyDescent="0.4">
      <c r="A567" s="50"/>
      <c r="B567" s="1038"/>
      <c r="C567" s="1038"/>
      <c r="D567" s="245" t="s">
        <v>48</v>
      </c>
      <c r="F567" s="397"/>
      <c r="G567" s="397"/>
      <c r="H567" s="240"/>
      <c r="I567" s="397"/>
      <c r="J567" s="397"/>
      <c r="K567" s="397"/>
      <c r="L567" s="397"/>
      <c r="M567" s="397"/>
      <c r="N567" s="397"/>
      <c r="O567" s="397"/>
      <c r="P567" s="397"/>
      <c r="Q567" s="397"/>
      <c r="R567" s="397"/>
      <c r="S567" s="397"/>
      <c r="T567" s="397"/>
      <c r="U567" s="397"/>
      <c r="V567" s="397"/>
      <c r="W567" s="397"/>
      <c r="X567" s="397"/>
      <c r="Y567" s="397"/>
      <c r="Z567" s="397"/>
      <c r="AA567" s="397"/>
      <c r="AB567" s="397"/>
      <c r="AC567" s="397"/>
      <c r="AD567" s="762"/>
      <c r="AH567" s="397"/>
      <c r="AI567" s="397"/>
      <c r="AJ567" s="397"/>
      <c r="AK567" s="397"/>
      <c r="AL567" s="397"/>
      <c r="AM567" s="397"/>
      <c r="AN567" s="397"/>
      <c r="AO567" s="397"/>
      <c r="AP567" s="397"/>
      <c r="AQ567" s="397"/>
      <c r="AR567" s="397"/>
      <c r="AS567" s="397"/>
      <c r="AT567" s="397"/>
      <c r="AU567" s="397"/>
      <c r="AV567" s="397"/>
      <c r="AW567" s="397"/>
      <c r="AX567" s="397"/>
      <c r="AY567" s="397"/>
      <c r="AZ567" s="397"/>
      <c r="BA567" s="397"/>
      <c r="BB567" s="397"/>
      <c r="BC567" s="397"/>
    </row>
    <row r="568" spans="1:55" s="40" customFormat="1" x14ac:dyDescent="0.4">
      <c r="A568" s="50"/>
      <c r="B568" s="1038"/>
      <c r="C568" s="1038"/>
      <c r="D568" s="245" t="s">
        <v>48</v>
      </c>
      <c r="F568" s="397"/>
      <c r="G568" s="397"/>
      <c r="H568" s="240"/>
      <c r="I568" s="397"/>
      <c r="J568" s="397"/>
      <c r="K568" s="397"/>
      <c r="L568" s="397"/>
      <c r="M568" s="397"/>
      <c r="N568" s="397"/>
      <c r="O568" s="397"/>
      <c r="P568" s="397"/>
      <c r="Q568" s="397"/>
      <c r="R568" s="397"/>
      <c r="S568" s="397"/>
      <c r="T568" s="397"/>
      <c r="U568" s="397"/>
      <c r="V568" s="397"/>
      <c r="W568" s="397"/>
      <c r="X568" s="397"/>
      <c r="Y568" s="397"/>
      <c r="Z568" s="397"/>
      <c r="AA568" s="397"/>
      <c r="AB568" s="397"/>
      <c r="AC568" s="397"/>
      <c r="AD568" s="762"/>
      <c r="AH568" s="397"/>
      <c r="AI568" s="397"/>
      <c r="AJ568" s="397"/>
      <c r="AK568" s="397"/>
      <c r="AL568" s="397"/>
      <c r="AM568" s="397"/>
      <c r="AN568" s="397"/>
      <c r="AO568" s="397"/>
      <c r="AP568" s="397"/>
      <c r="AQ568" s="397"/>
      <c r="AR568" s="397"/>
      <c r="AS568" s="397"/>
      <c r="AT568" s="397"/>
      <c r="AU568" s="397"/>
      <c r="AV568" s="397"/>
      <c r="AW568" s="397"/>
      <c r="AX568" s="397"/>
      <c r="AY568" s="397"/>
      <c r="AZ568" s="397"/>
      <c r="BA568" s="397"/>
      <c r="BB568" s="397"/>
      <c r="BC568" s="397"/>
    </row>
    <row r="569" spans="1:55" s="40" customFormat="1" x14ac:dyDescent="0.4">
      <c r="A569" s="50"/>
      <c r="B569" s="1038"/>
      <c r="C569" s="1038"/>
      <c r="D569" s="245" t="s">
        <v>48</v>
      </c>
      <c r="F569" s="397"/>
      <c r="G569" s="397"/>
      <c r="H569" s="240"/>
      <c r="I569" s="397"/>
      <c r="J569" s="397"/>
      <c r="K569" s="397"/>
      <c r="L569" s="397"/>
      <c r="M569" s="397"/>
      <c r="N569" s="397"/>
      <c r="O569" s="397"/>
      <c r="P569" s="397"/>
      <c r="Q569" s="397"/>
      <c r="R569" s="397"/>
      <c r="S569" s="397"/>
      <c r="T569" s="397"/>
      <c r="U569" s="397"/>
      <c r="V569" s="397"/>
      <c r="W569" s="397"/>
      <c r="X569" s="397"/>
      <c r="Y569" s="397"/>
      <c r="Z569" s="397"/>
      <c r="AA569" s="397"/>
      <c r="AB569" s="397"/>
      <c r="AC569" s="397"/>
      <c r="AD569" s="762"/>
      <c r="AH569" s="397"/>
      <c r="AI569" s="397"/>
      <c r="AJ569" s="397"/>
      <c r="AK569" s="397"/>
      <c r="AL569" s="397"/>
      <c r="AM569" s="397"/>
      <c r="AN569" s="397"/>
      <c r="AO569" s="397"/>
      <c r="AP569" s="397"/>
      <c r="AQ569" s="397"/>
      <c r="AR569" s="397"/>
      <c r="AS569" s="397"/>
      <c r="AT569" s="397"/>
      <c r="AU569" s="397"/>
      <c r="AV569" s="397"/>
      <c r="AW569" s="397"/>
      <c r="AX569" s="397"/>
      <c r="AY569" s="397"/>
      <c r="AZ569" s="397"/>
      <c r="BA569" s="397"/>
      <c r="BB569" s="397"/>
      <c r="BC569" s="397"/>
    </row>
    <row r="570" spans="1:55" s="40" customFormat="1" x14ac:dyDescent="0.4">
      <c r="A570" s="50"/>
      <c r="B570" s="1038"/>
      <c r="C570" s="1038"/>
      <c r="D570" s="245" t="s">
        <v>48</v>
      </c>
      <c r="F570" s="397"/>
      <c r="G570" s="397"/>
      <c r="H570" s="240"/>
      <c r="I570" s="397"/>
      <c r="J570" s="397"/>
      <c r="K570" s="397"/>
      <c r="L570" s="397"/>
      <c r="M570" s="397"/>
      <c r="N570" s="397"/>
      <c r="O570" s="397"/>
      <c r="P570" s="397"/>
      <c r="Q570" s="397"/>
      <c r="R570" s="397"/>
      <c r="S570" s="397"/>
      <c r="T570" s="397"/>
      <c r="U570" s="397"/>
      <c r="V570" s="397"/>
      <c r="W570" s="397"/>
      <c r="X570" s="397"/>
      <c r="Y570" s="397"/>
      <c r="Z570" s="397"/>
      <c r="AA570" s="397"/>
      <c r="AB570" s="397"/>
      <c r="AC570" s="397"/>
      <c r="AD570" s="762"/>
      <c r="AH570" s="397"/>
      <c r="AI570" s="397"/>
      <c r="AJ570" s="397"/>
      <c r="AK570" s="397"/>
      <c r="AL570" s="397"/>
      <c r="AM570" s="397"/>
      <c r="AN570" s="397"/>
      <c r="AO570" s="397"/>
      <c r="AP570" s="397"/>
      <c r="AQ570" s="397"/>
      <c r="AR570" s="397"/>
      <c r="AS570" s="397"/>
      <c r="AT570" s="397"/>
      <c r="AU570" s="397"/>
      <c r="AV570" s="397"/>
      <c r="AW570" s="397"/>
      <c r="AX570" s="397"/>
      <c r="AY570" s="397"/>
      <c r="AZ570" s="397"/>
      <c r="BA570" s="397"/>
      <c r="BB570" s="397"/>
      <c r="BC570" s="397"/>
    </row>
    <row r="571" spans="1:55" s="40" customFormat="1" x14ac:dyDescent="0.4">
      <c r="A571" s="50"/>
      <c r="B571" s="1038"/>
      <c r="C571" s="1038"/>
      <c r="D571" s="245" t="s">
        <v>48</v>
      </c>
      <c r="F571" s="397"/>
      <c r="G571" s="397"/>
      <c r="H571" s="240"/>
      <c r="I571" s="397"/>
      <c r="J571" s="397"/>
      <c r="K571" s="397"/>
      <c r="L571" s="397"/>
      <c r="M571" s="397"/>
      <c r="N571" s="397"/>
      <c r="O571" s="397"/>
      <c r="P571" s="397"/>
      <c r="Q571" s="397"/>
      <c r="R571" s="397"/>
      <c r="S571" s="397"/>
      <c r="T571" s="397"/>
      <c r="U571" s="397"/>
      <c r="V571" s="397"/>
      <c r="W571" s="397"/>
      <c r="X571" s="397"/>
      <c r="Y571" s="397"/>
      <c r="Z571" s="397"/>
      <c r="AA571" s="397"/>
      <c r="AB571" s="397"/>
      <c r="AC571" s="397"/>
      <c r="AD571" s="762"/>
      <c r="AH571" s="397"/>
      <c r="AI571" s="397"/>
      <c r="AJ571" s="397"/>
      <c r="AK571" s="397"/>
      <c r="AL571" s="397"/>
      <c r="AM571" s="397"/>
      <c r="AN571" s="397"/>
      <c r="AO571" s="397"/>
      <c r="AP571" s="397"/>
      <c r="AQ571" s="397"/>
      <c r="AR571" s="397"/>
      <c r="AS571" s="397"/>
      <c r="AT571" s="397"/>
      <c r="AU571" s="397"/>
      <c r="AV571" s="397"/>
      <c r="AW571" s="397"/>
      <c r="AX571" s="397"/>
      <c r="AY571" s="397"/>
      <c r="AZ571" s="397"/>
      <c r="BA571" s="397"/>
      <c r="BB571" s="397"/>
      <c r="BC571" s="397"/>
    </row>
    <row r="572" spans="1:55" s="40" customFormat="1" x14ac:dyDescent="0.4">
      <c r="A572" s="50"/>
      <c r="B572" s="1038"/>
      <c r="C572" s="1038"/>
      <c r="D572" s="245" t="s">
        <v>48</v>
      </c>
      <c r="F572" s="397"/>
      <c r="G572" s="397"/>
      <c r="H572" s="240"/>
      <c r="I572" s="397"/>
      <c r="J572" s="397"/>
      <c r="K572" s="397"/>
      <c r="L572" s="397"/>
      <c r="M572" s="397"/>
      <c r="N572" s="397"/>
      <c r="O572" s="397"/>
      <c r="P572" s="397"/>
      <c r="Q572" s="397"/>
      <c r="R572" s="397"/>
      <c r="S572" s="397"/>
      <c r="T572" s="397"/>
      <c r="U572" s="397"/>
      <c r="V572" s="397"/>
      <c r="W572" s="397"/>
      <c r="X572" s="397"/>
      <c r="Y572" s="397"/>
      <c r="Z572" s="397"/>
      <c r="AA572" s="397"/>
      <c r="AB572" s="397"/>
      <c r="AC572" s="397"/>
      <c r="AD572" s="762"/>
      <c r="AH572" s="397"/>
      <c r="AI572" s="397"/>
      <c r="AJ572" s="397"/>
      <c r="AK572" s="397"/>
      <c r="AL572" s="397"/>
      <c r="AM572" s="397"/>
      <c r="AN572" s="397"/>
      <c r="AO572" s="397"/>
      <c r="AP572" s="397"/>
      <c r="AQ572" s="397"/>
      <c r="AR572" s="397"/>
      <c r="AS572" s="397"/>
      <c r="AT572" s="397"/>
      <c r="AU572" s="397"/>
      <c r="AV572" s="397"/>
      <c r="AW572" s="397"/>
      <c r="AX572" s="397"/>
      <c r="AY572" s="397"/>
      <c r="AZ572" s="397"/>
      <c r="BA572" s="397"/>
      <c r="BB572" s="397"/>
      <c r="BC572" s="397"/>
    </row>
    <row r="573" spans="1:55" s="40" customFormat="1" x14ac:dyDescent="0.4">
      <c r="A573" s="50"/>
      <c r="B573" s="1038"/>
      <c r="C573" s="1038"/>
      <c r="D573" s="245" t="s">
        <v>48</v>
      </c>
      <c r="F573" s="397"/>
      <c r="G573" s="397"/>
      <c r="H573" s="240"/>
      <c r="I573" s="397"/>
      <c r="J573" s="397"/>
      <c r="K573" s="397"/>
      <c r="L573" s="397"/>
      <c r="M573" s="397"/>
      <c r="N573" s="397"/>
      <c r="O573" s="397"/>
      <c r="P573" s="397"/>
      <c r="Q573" s="397"/>
      <c r="R573" s="397"/>
      <c r="S573" s="397"/>
      <c r="T573" s="397"/>
      <c r="U573" s="397"/>
      <c r="V573" s="397"/>
      <c r="W573" s="397"/>
      <c r="X573" s="397"/>
      <c r="Y573" s="397"/>
      <c r="Z573" s="397"/>
      <c r="AA573" s="397"/>
      <c r="AB573" s="397"/>
      <c r="AC573" s="397"/>
      <c r="AD573" s="762"/>
      <c r="AH573" s="397"/>
      <c r="AI573" s="397"/>
      <c r="AJ573" s="397"/>
      <c r="AK573" s="397"/>
      <c r="AL573" s="397"/>
      <c r="AM573" s="397"/>
      <c r="AN573" s="397"/>
      <c r="AO573" s="397"/>
      <c r="AP573" s="397"/>
      <c r="AQ573" s="397"/>
      <c r="AR573" s="397"/>
      <c r="AS573" s="397"/>
      <c r="AT573" s="397"/>
      <c r="AU573" s="397"/>
      <c r="AV573" s="397"/>
      <c r="AW573" s="397"/>
      <c r="AX573" s="397"/>
      <c r="AY573" s="397"/>
      <c r="AZ573" s="397"/>
      <c r="BA573" s="397"/>
      <c r="BB573" s="397"/>
      <c r="BC573" s="397"/>
    </row>
    <row r="574" spans="1:55" s="40" customFormat="1" x14ac:dyDescent="0.4">
      <c r="A574" s="50"/>
      <c r="B574" s="1038"/>
      <c r="C574" s="1038"/>
      <c r="D574" s="245" t="s">
        <v>48</v>
      </c>
      <c r="F574" s="397"/>
      <c r="G574" s="397"/>
      <c r="H574" s="240"/>
      <c r="I574" s="397"/>
      <c r="J574" s="397"/>
      <c r="K574" s="397"/>
      <c r="L574" s="397"/>
      <c r="M574" s="397"/>
      <c r="N574" s="397"/>
      <c r="O574" s="397"/>
      <c r="P574" s="397"/>
      <c r="Q574" s="397"/>
      <c r="R574" s="397"/>
      <c r="S574" s="397"/>
      <c r="T574" s="397"/>
      <c r="U574" s="397"/>
      <c r="V574" s="397"/>
      <c r="W574" s="397"/>
      <c r="X574" s="397"/>
      <c r="Y574" s="397"/>
      <c r="Z574" s="397"/>
      <c r="AA574" s="397"/>
      <c r="AB574" s="397"/>
      <c r="AC574" s="397"/>
      <c r="AD574" s="762"/>
      <c r="AH574" s="397"/>
      <c r="AI574" s="397"/>
      <c r="AJ574" s="397"/>
      <c r="AK574" s="397"/>
      <c r="AL574" s="397"/>
      <c r="AM574" s="397"/>
      <c r="AN574" s="397"/>
      <c r="AO574" s="397"/>
      <c r="AP574" s="397"/>
      <c r="AQ574" s="397"/>
      <c r="AR574" s="397"/>
      <c r="AS574" s="397"/>
      <c r="AT574" s="397"/>
      <c r="AU574" s="397"/>
      <c r="AV574" s="397"/>
      <c r="AW574" s="397"/>
      <c r="AX574" s="397"/>
      <c r="AY574" s="397"/>
      <c r="AZ574" s="397"/>
      <c r="BA574" s="397"/>
      <c r="BB574" s="397"/>
      <c r="BC574" s="397"/>
    </row>
    <row r="575" spans="1:55" s="40" customFormat="1" ht="18" customHeight="1" x14ac:dyDescent="0.4">
      <c r="A575" s="50"/>
      <c r="B575" s="1038"/>
      <c r="C575" s="1038"/>
      <c r="D575" s="245" t="s">
        <v>48</v>
      </c>
      <c r="F575" s="397"/>
      <c r="G575" s="397"/>
      <c r="H575" s="240"/>
      <c r="I575" s="397"/>
      <c r="J575" s="397"/>
      <c r="K575" s="397"/>
      <c r="L575" s="397"/>
      <c r="M575" s="397"/>
      <c r="N575" s="397"/>
      <c r="O575" s="397"/>
      <c r="P575" s="397"/>
      <c r="Q575" s="397"/>
      <c r="R575" s="397"/>
      <c r="S575" s="397"/>
      <c r="T575" s="397"/>
      <c r="U575" s="397"/>
      <c r="V575" s="397"/>
      <c r="W575" s="397"/>
      <c r="X575" s="397"/>
      <c r="Y575" s="397"/>
      <c r="Z575" s="397"/>
      <c r="AA575" s="397"/>
      <c r="AB575" s="397"/>
      <c r="AC575" s="397"/>
      <c r="AD575" s="762"/>
      <c r="AH575" s="397"/>
      <c r="AI575" s="397"/>
      <c r="AJ575" s="397"/>
      <c r="AK575" s="397"/>
      <c r="AL575" s="397"/>
      <c r="AM575" s="397"/>
      <c r="AN575" s="397"/>
      <c r="AO575" s="397"/>
      <c r="AP575" s="397"/>
      <c r="AQ575" s="397"/>
      <c r="AR575" s="397"/>
      <c r="AS575" s="397"/>
      <c r="AT575" s="397"/>
      <c r="AU575" s="397"/>
      <c r="AV575" s="397"/>
      <c r="AW575" s="397"/>
      <c r="AX575" s="397"/>
      <c r="AY575" s="397"/>
      <c r="AZ575" s="397"/>
      <c r="BA575" s="397"/>
      <c r="BB575" s="397"/>
      <c r="BC575" s="397"/>
    </row>
    <row r="576" spans="1:55" s="40" customFormat="1" ht="18" customHeight="1" x14ac:dyDescent="0.4">
      <c r="A576" s="50"/>
      <c r="B576" s="1038"/>
      <c r="C576" s="1038"/>
      <c r="D576" s="245"/>
      <c r="F576" s="397"/>
      <c r="G576" s="397"/>
      <c r="H576" s="240"/>
      <c r="I576" s="397"/>
      <c r="J576" s="397"/>
      <c r="K576" s="397"/>
      <c r="L576" s="397"/>
      <c r="M576" s="397"/>
      <c r="N576" s="397"/>
      <c r="O576" s="397"/>
      <c r="P576" s="397"/>
      <c r="Q576" s="397"/>
      <c r="R576" s="397"/>
      <c r="S576" s="397"/>
      <c r="T576" s="397"/>
      <c r="U576" s="397"/>
      <c r="V576" s="397"/>
      <c r="W576" s="397"/>
      <c r="X576" s="397"/>
      <c r="Y576" s="397"/>
      <c r="Z576" s="397"/>
      <c r="AA576" s="397"/>
      <c r="AB576" s="397"/>
      <c r="AC576" s="397"/>
      <c r="AD576" s="762"/>
      <c r="AH576" s="397"/>
      <c r="AI576" s="397"/>
      <c r="AJ576" s="397"/>
      <c r="AK576" s="397"/>
      <c r="AL576" s="397"/>
      <c r="AM576" s="397"/>
      <c r="AN576" s="397"/>
      <c r="AO576" s="397"/>
      <c r="AP576" s="397"/>
      <c r="AQ576" s="397"/>
      <c r="AR576" s="397"/>
      <c r="AS576" s="397"/>
      <c r="AT576" s="397"/>
      <c r="AU576" s="397"/>
      <c r="AV576" s="397"/>
      <c r="AW576" s="397"/>
      <c r="AX576" s="397"/>
      <c r="AY576" s="397"/>
      <c r="AZ576" s="397"/>
      <c r="BA576" s="397"/>
      <c r="BB576" s="397"/>
      <c r="BC576" s="397"/>
    </row>
    <row r="577" spans="1:55" s="966" customFormat="1" ht="27" customHeight="1" x14ac:dyDescent="0.4">
      <c r="A577" s="1045"/>
      <c r="B577" s="1045"/>
      <c r="C577" s="1045"/>
      <c r="E577" s="966" t="str">
        <f>$E$50</f>
        <v>SÖGULEG LOSUN</v>
      </c>
      <c r="F577" s="967"/>
      <c r="G577" s="967"/>
      <c r="H577" s="967"/>
      <c r="I577" s="967"/>
      <c r="J577" s="967"/>
      <c r="K577" s="967"/>
      <c r="L577" s="967"/>
      <c r="M577" s="967"/>
      <c r="N577" s="967"/>
      <c r="O577" s="967"/>
      <c r="P577" s="967"/>
      <c r="Q577" s="967"/>
      <c r="R577" s="967"/>
      <c r="S577" s="967"/>
      <c r="T577" s="967"/>
      <c r="U577" s="967"/>
      <c r="V577" s="967"/>
      <c r="W577" s="967"/>
      <c r="X577" s="967"/>
      <c r="Y577" s="967"/>
      <c r="Z577" s="967"/>
      <c r="AA577" s="967"/>
      <c r="AB577" s="967"/>
      <c r="AC577" s="967"/>
      <c r="AD577" s="968"/>
      <c r="AG577" s="966" t="str">
        <f>$AG$50</f>
        <v>HISTORICAL EMISSIONS</v>
      </c>
      <c r="AH577" s="967"/>
      <c r="AI577" s="967"/>
      <c r="AJ577" s="967"/>
      <c r="AK577" s="967"/>
      <c r="AL577" s="967"/>
      <c r="AM577" s="967"/>
      <c r="AN577" s="967"/>
      <c r="AO577" s="967"/>
      <c r="AP577" s="967"/>
      <c r="AQ577" s="967"/>
      <c r="AR577" s="967"/>
      <c r="AS577" s="967"/>
      <c r="AT577" s="967"/>
      <c r="AU577" s="967"/>
      <c r="AV577" s="967"/>
      <c r="AW577" s="967"/>
      <c r="AX577" s="967"/>
      <c r="AY577" s="967"/>
      <c r="AZ577" s="967"/>
      <c r="BA577" s="967"/>
      <c r="BB577" s="967"/>
      <c r="BC577" s="967"/>
    </row>
    <row r="578" spans="1:55" s="40" customFormat="1" x14ac:dyDescent="0.4">
      <c r="A578" s="50"/>
      <c r="B578" s="1038"/>
      <c r="C578" s="1038"/>
      <c r="D578" s="245" t="s">
        <v>48</v>
      </c>
      <c r="F578" s="397"/>
      <c r="G578" s="397"/>
      <c r="H578" s="240"/>
      <c r="I578" s="397"/>
      <c r="J578" s="397"/>
      <c r="K578" s="397"/>
      <c r="L578" s="397"/>
      <c r="M578" s="397"/>
      <c r="N578" s="397"/>
      <c r="O578" s="397"/>
      <c r="P578" s="397"/>
      <c r="Q578" s="397"/>
      <c r="R578" s="397"/>
      <c r="S578" s="397"/>
      <c r="T578" s="397"/>
      <c r="U578" s="397"/>
      <c r="V578" s="397"/>
      <c r="W578" s="397"/>
      <c r="X578" s="397"/>
      <c r="Y578" s="397"/>
      <c r="Z578" s="397"/>
      <c r="AA578" s="397"/>
      <c r="AB578" s="397"/>
      <c r="AC578" s="397"/>
      <c r="AD578" s="762"/>
      <c r="AH578" s="397"/>
      <c r="AI578" s="397"/>
      <c r="AJ578" s="397"/>
      <c r="AK578" s="397"/>
      <c r="AL578" s="397"/>
      <c r="AM578" s="397"/>
      <c r="AN578" s="397"/>
      <c r="AO578" s="397"/>
      <c r="AP578" s="397"/>
      <c r="AQ578" s="397"/>
      <c r="AR578" s="397"/>
      <c r="AS578" s="397"/>
      <c r="AT578" s="397"/>
      <c r="AU578" s="397"/>
      <c r="AV578" s="397"/>
      <c r="AW578" s="397"/>
      <c r="AX578" s="397"/>
      <c r="AY578" s="397"/>
      <c r="AZ578" s="397"/>
      <c r="BA578" s="397"/>
      <c r="BB578" s="397"/>
      <c r="BC578" s="397"/>
    </row>
    <row r="579" spans="1:55" s="40" customFormat="1" x14ac:dyDescent="0.4">
      <c r="A579" s="50"/>
      <c r="B579" s="1038"/>
      <c r="C579" s="1038"/>
      <c r="D579" s="245" t="s">
        <v>48</v>
      </c>
      <c r="F579" s="397"/>
      <c r="G579" s="397"/>
      <c r="H579" s="240"/>
      <c r="I579" s="397"/>
      <c r="J579" s="397"/>
      <c r="K579" s="397"/>
      <c r="L579" s="397"/>
      <c r="M579" s="397"/>
      <c r="N579" s="397"/>
      <c r="O579" s="397"/>
      <c r="P579" s="397"/>
      <c r="Q579" s="397"/>
      <c r="R579" s="397"/>
      <c r="S579" s="397"/>
      <c r="T579" s="397"/>
      <c r="U579" s="397"/>
      <c r="V579" s="397"/>
      <c r="W579" s="397"/>
      <c r="X579" s="397"/>
      <c r="Y579" s="397"/>
      <c r="Z579" s="397"/>
      <c r="AA579" s="397"/>
      <c r="AB579" s="397"/>
      <c r="AC579" s="397"/>
      <c r="AD579" s="762"/>
      <c r="AH579" s="397"/>
      <c r="AI579" s="397"/>
      <c r="AJ579" s="397"/>
      <c r="AK579" s="397"/>
      <c r="AL579" s="397"/>
      <c r="AM579" s="397"/>
      <c r="AN579" s="397"/>
      <c r="AO579" s="397"/>
      <c r="AP579" s="397"/>
      <c r="AQ579" s="397"/>
      <c r="AR579" s="397"/>
      <c r="AS579" s="397"/>
      <c r="AT579" s="397"/>
      <c r="AU579" s="397"/>
      <c r="AV579" s="397"/>
      <c r="AW579" s="397"/>
      <c r="AX579" s="397"/>
      <c r="AY579" s="397"/>
      <c r="AZ579" s="397"/>
      <c r="BA579" s="397"/>
      <c r="BB579" s="397"/>
      <c r="BC579" s="397"/>
    </row>
    <row r="580" spans="1:55" s="40" customFormat="1" x14ac:dyDescent="0.4">
      <c r="A580" s="50"/>
      <c r="B580" s="1038"/>
      <c r="C580" s="1038"/>
      <c r="D580" s="245" t="s">
        <v>48</v>
      </c>
      <c r="F580" s="397"/>
      <c r="G580" s="397"/>
      <c r="H580" s="240"/>
      <c r="I580" s="397"/>
      <c r="J580" s="397"/>
      <c r="K580" s="397"/>
      <c r="L580" s="397"/>
      <c r="M580" s="397"/>
      <c r="N580" s="397"/>
      <c r="O580" s="397"/>
      <c r="P580" s="397"/>
      <c r="Q580" s="397"/>
      <c r="R580" s="397"/>
      <c r="S580" s="397"/>
      <c r="T580" s="397"/>
      <c r="U580" s="397"/>
      <c r="V580" s="397"/>
      <c r="W580" s="397"/>
      <c r="X580" s="397"/>
      <c r="Y580" s="397"/>
      <c r="Z580" s="397"/>
      <c r="AA580" s="397"/>
      <c r="AB580" s="397"/>
      <c r="AC580" s="397"/>
      <c r="AD580" s="762"/>
      <c r="AH580" s="397"/>
      <c r="AI580" s="397"/>
      <c r="AJ580" s="397"/>
      <c r="AK580" s="397"/>
      <c r="AL580" s="397"/>
      <c r="AM580" s="397"/>
      <c r="AN580" s="397"/>
      <c r="AO580" s="397"/>
      <c r="AP580" s="397"/>
      <c r="AQ580" s="397"/>
      <c r="AR580" s="397"/>
      <c r="AS580" s="397"/>
      <c r="AT580" s="397"/>
      <c r="AU580" s="397"/>
      <c r="AV580" s="397"/>
      <c r="AW580" s="397"/>
      <c r="AX580" s="397"/>
      <c r="AY580" s="397"/>
      <c r="AZ580" s="397"/>
      <c r="BA580" s="397"/>
      <c r="BB580" s="397"/>
      <c r="BC580" s="397"/>
    </row>
    <row r="581" spans="1:55" s="40" customFormat="1" x14ac:dyDescent="0.4">
      <c r="A581" s="50"/>
      <c r="B581" s="1038"/>
      <c r="C581" s="1038"/>
      <c r="D581" s="245" t="s">
        <v>48</v>
      </c>
      <c r="F581" s="397"/>
      <c r="G581" s="397"/>
      <c r="H581" s="240"/>
      <c r="I581" s="397"/>
      <c r="J581" s="397"/>
      <c r="K581" s="397"/>
      <c r="L581" s="397"/>
      <c r="M581" s="397"/>
      <c r="N581" s="397"/>
      <c r="O581" s="397"/>
      <c r="P581" s="397"/>
      <c r="Q581" s="397"/>
      <c r="R581" s="397"/>
      <c r="S581" s="397"/>
      <c r="T581" s="397"/>
      <c r="U581" s="397"/>
      <c r="V581" s="397"/>
      <c r="W581" s="397"/>
      <c r="X581" s="397"/>
      <c r="Y581" s="397"/>
      <c r="Z581" s="397"/>
      <c r="AA581" s="397"/>
      <c r="AB581" s="397"/>
      <c r="AC581" s="397"/>
      <c r="AD581" s="762"/>
      <c r="AH581" s="397"/>
      <c r="AI581" s="397"/>
      <c r="AJ581" s="397"/>
      <c r="AK581" s="397"/>
      <c r="AL581" s="397"/>
      <c r="AM581" s="397"/>
      <c r="AN581" s="397"/>
      <c r="AO581" s="397"/>
      <c r="AP581" s="397"/>
      <c r="AQ581" s="397"/>
      <c r="AR581" s="397"/>
      <c r="AS581" s="397"/>
      <c r="AT581" s="397"/>
      <c r="AU581" s="397"/>
      <c r="AV581" s="397"/>
      <c r="AW581" s="397"/>
      <c r="AX581" s="397"/>
      <c r="AY581" s="397"/>
      <c r="AZ581" s="397"/>
      <c r="BA581" s="397"/>
      <c r="BB581" s="397"/>
      <c r="BC581" s="397"/>
    </row>
    <row r="582" spans="1:55" s="40" customFormat="1" x14ac:dyDescent="0.4">
      <c r="A582" s="50"/>
      <c r="B582" s="1038"/>
      <c r="C582" s="1038"/>
      <c r="D582" s="245" t="s">
        <v>48</v>
      </c>
      <c r="F582" s="397"/>
      <c r="G582" s="397"/>
      <c r="H582" s="240"/>
      <c r="I582" s="397"/>
      <c r="J582" s="397"/>
      <c r="K582" s="397"/>
      <c r="L582" s="397"/>
      <c r="M582" s="397"/>
      <c r="N582" s="397"/>
      <c r="O582" s="397"/>
      <c r="P582" s="397"/>
      <c r="Q582" s="397"/>
      <c r="R582" s="397"/>
      <c r="S582" s="397"/>
      <c r="T582" s="397"/>
      <c r="U582" s="397"/>
      <c r="V582" s="397"/>
      <c r="W582" s="397"/>
      <c r="X582" s="397"/>
      <c r="Y582" s="397"/>
      <c r="Z582" s="397"/>
      <c r="AA582" s="397"/>
      <c r="AB582" s="397"/>
      <c r="AC582" s="397"/>
      <c r="AD582" s="762"/>
      <c r="AH582" s="397"/>
      <c r="AI582" s="397"/>
      <c r="AJ582" s="397"/>
      <c r="AK582" s="397"/>
      <c r="AL582" s="397"/>
      <c r="AM582" s="397"/>
      <c r="AN582" s="397"/>
      <c r="AO582" s="397"/>
      <c r="AP582" s="397"/>
      <c r="AQ582" s="397"/>
      <c r="AR582" s="397"/>
      <c r="AS582" s="397"/>
      <c r="AT582" s="397"/>
      <c r="AU582" s="397"/>
      <c r="AV582" s="397"/>
      <c r="AW582" s="397"/>
      <c r="AX582" s="397"/>
      <c r="AY582" s="397"/>
      <c r="AZ582" s="397"/>
      <c r="BA582" s="397"/>
      <c r="BB582" s="397"/>
      <c r="BC582" s="397"/>
    </row>
    <row r="583" spans="1:55" s="40" customFormat="1" x14ac:dyDescent="0.4">
      <c r="A583" s="50"/>
      <c r="B583" s="1038"/>
      <c r="C583" s="1038"/>
      <c r="D583" s="245" t="s">
        <v>48</v>
      </c>
      <c r="F583" s="397"/>
      <c r="G583" s="397"/>
      <c r="H583" s="240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397"/>
      <c r="T583" s="397"/>
      <c r="U583" s="397"/>
      <c r="V583" s="397"/>
      <c r="W583" s="397"/>
      <c r="X583" s="397"/>
      <c r="Y583" s="397"/>
      <c r="Z583" s="397"/>
      <c r="AA583" s="397"/>
      <c r="AB583" s="397"/>
      <c r="AC583" s="397"/>
      <c r="AD583" s="762"/>
      <c r="AH583" s="397"/>
      <c r="AI583" s="397"/>
      <c r="AJ583" s="397"/>
      <c r="AK583" s="397"/>
      <c r="AL583" s="397"/>
      <c r="AM583" s="397"/>
      <c r="AN583" s="397"/>
      <c r="AO583" s="397"/>
      <c r="AP583" s="397"/>
      <c r="AQ583" s="397"/>
      <c r="AR583" s="397"/>
      <c r="AS583" s="397"/>
      <c r="AT583" s="397"/>
      <c r="AU583" s="397"/>
      <c r="AV583" s="397"/>
      <c r="AW583" s="397"/>
      <c r="AX583" s="397"/>
      <c r="AY583" s="397"/>
      <c r="AZ583" s="397"/>
      <c r="BA583" s="397"/>
      <c r="BB583" s="397"/>
      <c r="BC583" s="397"/>
    </row>
    <row r="584" spans="1:55" s="40" customFormat="1" x14ac:dyDescent="0.4">
      <c r="A584" s="50"/>
      <c r="B584" s="1038"/>
      <c r="C584" s="1038"/>
      <c r="D584" s="245" t="s">
        <v>48</v>
      </c>
      <c r="F584" s="397"/>
      <c r="G584" s="397"/>
      <c r="H584" s="240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397"/>
      <c r="T584" s="397"/>
      <c r="U584" s="397"/>
      <c r="V584" s="397"/>
      <c r="W584" s="397"/>
      <c r="X584" s="397"/>
      <c r="Y584" s="397"/>
      <c r="Z584" s="397"/>
      <c r="AA584" s="397"/>
      <c r="AB584" s="397"/>
      <c r="AC584" s="397"/>
      <c r="AD584" s="762"/>
      <c r="AH584" s="397"/>
      <c r="AI584" s="397"/>
      <c r="AJ584" s="397"/>
      <c r="AK584" s="397"/>
      <c r="AL584" s="397"/>
      <c r="AM584" s="397"/>
      <c r="AN584" s="397"/>
      <c r="AO584" s="397"/>
      <c r="AP584" s="397"/>
      <c r="AQ584" s="397"/>
      <c r="AR584" s="397"/>
      <c r="AS584" s="397"/>
      <c r="AT584" s="397"/>
      <c r="AU584" s="397"/>
      <c r="AV584" s="397"/>
      <c r="AW584" s="397"/>
      <c r="AX584" s="397"/>
      <c r="AY584" s="397"/>
      <c r="AZ584" s="397"/>
      <c r="BA584" s="397"/>
      <c r="BB584" s="397"/>
      <c r="BC584" s="397"/>
    </row>
    <row r="585" spans="1:55" s="40" customFormat="1" ht="15" customHeight="1" x14ac:dyDescent="0.4">
      <c r="A585" s="50"/>
      <c r="B585" s="1038"/>
      <c r="C585" s="1038"/>
      <c r="D585" s="245" t="s">
        <v>48</v>
      </c>
      <c r="F585" s="397"/>
      <c r="G585" s="397"/>
      <c r="H585" s="240"/>
      <c r="I585" s="397"/>
      <c r="J585" s="397"/>
      <c r="K585" s="397"/>
      <c r="L585" s="397"/>
      <c r="M585" s="397"/>
      <c r="N585" s="397"/>
      <c r="O585" s="397"/>
      <c r="P585" s="397"/>
      <c r="Q585" s="397"/>
      <c r="R585" s="397"/>
      <c r="S585" s="397"/>
      <c r="T585" s="397"/>
      <c r="U585" s="397"/>
      <c r="V585" s="397"/>
      <c r="W585" s="397"/>
      <c r="X585" s="397"/>
      <c r="Y585" s="397"/>
      <c r="Z585" s="397"/>
      <c r="AA585" s="397"/>
      <c r="AB585" s="397"/>
      <c r="AC585" s="397"/>
      <c r="AD585" s="762"/>
      <c r="AH585" s="397"/>
      <c r="AI585" s="397"/>
      <c r="AJ585" s="397"/>
      <c r="AK585" s="397"/>
      <c r="AL585" s="397"/>
      <c r="AM585" s="397"/>
      <c r="AN585" s="397"/>
      <c r="AO585" s="397"/>
      <c r="AP585" s="397"/>
      <c r="AQ585" s="397"/>
      <c r="AR585" s="397"/>
      <c r="AS585" s="397"/>
      <c r="AT585" s="397"/>
      <c r="AU585" s="397"/>
      <c r="AV585" s="397"/>
      <c r="AW585" s="397"/>
      <c r="AX585" s="397"/>
      <c r="AY585" s="397"/>
      <c r="AZ585" s="397"/>
      <c r="BA585" s="397"/>
      <c r="BB585" s="397"/>
      <c r="BC585" s="397"/>
    </row>
    <row r="586" spans="1:55" s="40" customFormat="1" ht="15" customHeight="1" x14ac:dyDescent="0.4">
      <c r="A586" s="50"/>
      <c r="B586" s="1038"/>
      <c r="C586" s="1038"/>
      <c r="D586" s="245" t="s">
        <v>48</v>
      </c>
      <c r="F586" s="397"/>
      <c r="G586" s="397"/>
      <c r="H586" s="240"/>
      <c r="I586" s="397"/>
      <c r="J586" s="397"/>
      <c r="K586" s="397"/>
      <c r="L586" s="397"/>
      <c r="M586" s="397"/>
      <c r="N586" s="397"/>
      <c r="O586" s="397"/>
      <c r="P586" s="397"/>
      <c r="Q586" s="397"/>
      <c r="R586" s="397"/>
      <c r="S586" s="397"/>
      <c r="T586" s="397"/>
      <c r="U586" s="397"/>
      <c r="V586" s="397"/>
      <c r="W586" s="397"/>
      <c r="X586" s="397"/>
      <c r="Y586" s="397"/>
      <c r="Z586" s="397"/>
      <c r="AA586" s="397"/>
      <c r="AB586" s="397"/>
      <c r="AC586" s="397"/>
      <c r="AD586" s="762"/>
      <c r="AH586" s="397"/>
      <c r="AI586" s="397"/>
      <c r="AJ586" s="397"/>
      <c r="AK586" s="397"/>
      <c r="AL586" s="397"/>
      <c r="AM586" s="397"/>
      <c r="AN586" s="397"/>
      <c r="AO586" s="397"/>
      <c r="AP586" s="397"/>
      <c r="AQ586" s="397"/>
      <c r="AR586" s="397"/>
      <c r="AS586" s="397"/>
      <c r="AT586" s="397"/>
      <c r="AU586" s="397"/>
      <c r="AV586" s="397"/>
      <c r="AW586" s="397"/>
      <c r="AX586" s="397"/>
      <c r="AY586" s="397"/>
      <c r="AZ586" s="397"/>
      <c r="BA586" s="397"/>
      <c r="BB586" s="397"/>
      <c r="BC586" s="397"/>
    </row>
    <row r="587" spans="1:55" s="40" customFormat="1" ht="15" customHeight="1" x14ac:dyDescent="0.4">
      <c r="A587" s="50"/>
      <c r="B587" s="1038"/>
      <c r="C587" s="1038"/>
      <c r="D587" s="245" t="s">
        <v>48</v>
      </c>
      <c r="F587" s="397"/>
      <c r="G587" s="397"/>
      <c r="H587" s="240"/>
      <c r="I587" s="397"/>
      <c r="J587" s="397"/>
      <c r="K587" s="397"/>
      <c r="L587" s="397"/>
      <c r="M587" s="397"/>
      <c r="N587" s="397"/>
      <c r="O587" s="397"/>
      <c r="P587" s="397"/>
      <c r="Q587" s="397"/>
      <c r="R587" s="397"/>
      <c r="S587" s="397"/>
      <c r="T587" s="397"/>
      <c r="U587" s="397"/>
      <c r="V587" s="397"/>
      <c r="W587" s="397"/>
      <c r="X587" s="397"/>
      <c r="Y587" s="397"/>
      <c r="Z587" s="397"/>
      <c r="AA587" s="397"/>
      <c r="AB587" s="397"/>
      <c r="AC587" s="397"/>
      <c r="AD587" s="762"/>
      <c r="AH587" s="397"/>
      <c r="AI587" s="397"/>
      <c r="AJ587" s="397"/>
      <c r="AK587" s="397"/>
      <c r="AL587" s="397"/>
      <c r="AM587" s="397"/>
      <c r="AN587" s="397"/>
      <c r="AO587" s="397"/>
      <c r="AP587" s="397"/>
      <c r="AQ587" s="397"/>
      <c r="AR587" s="397"/>
      <c r="AS587" s="397"/>
      <c r="AT587" s="397"/>
      <c r="AU587" s="397"/>
      <c r="AV587" s="397"/>
      <c r="AW587" s="397"/>
      <c r="AX587" s="397"/>
      <c r="AY587" s="397"/>
      <c r="AZ587" s="397"/>
      <c r="BA587" s="397"/>
      <c r="BB587" s="397"/>
      <c r="BC587" s="397"/>
    </row>
    <row r="588" spans="1:55" s="40" customFormat="1" x14ac:dyDescent="0.4">
      <c r="A588" s="50"/>
      <c r="B588" s="1038"/>
      <c r="C588" s="1038"/>
      <c r="D588" s="245" t="s">
        <v>48</v>
      </c>
      <c r="F588" s="397"/>
      <c r="G588" s="397"/>
      <c r="H588" s="240"/>
      <c r="I588" s="397"/>
      <c r="J588" s="397"/>
      <c r="K588" s="397"/>
      <c r="L588" s="397"/>
      <c r="M588" s="397"/>
      <c r="N588" s="397"/>
      <c r="O588" s="397"/>
      <c r="P588" s="397"/>
      <c r="Q588" s="397"/>
      <c r="R588" s="397"/>
      <c r="S588" s="397"/>
      <c r="T588" s="397"/>
      <c r="U588" s="397"/>
      <c r="V588" s="397"/>
      <c r="W588" s="397"/>
      <c r="X588" s="397"/>
      <c r="Y588" s="397"/>
      <c r="Z588" s="397"/>
      <c r="AA588" s="397"/>
      <c r="AB588" s="397"/>
      <c r="AC588" s="397"/>
      <c r="AD588" s="762"/>
      <c r="AH588" s="397"/>
      <c r="AI588" s="397"/>
      <c r="AJ588" s="397"/>
      <c r="AK588" s="397"/>
      <c r="AL588" s="397"/>
      <c r="AM588" s="397"/>
      <c r="AN588" s="397"/>
      <c r="AO588" s="397"/>
      <c r="AP588" s="397"/>
      <c r="AQ588" s="397"/>
      <c r="AR588" s="397"/>
      <c r="AS588" s="397"/>
      <c r="AT588" s="397"/>
      <c r="AU588" s="397"/>
      <c r="AV588" s="397"/>
      <c r="AW588" s="397"/>
      <c r="AX588" s="397"/>
      <c r="AY588" s="397"/>
      <c r="AZ588" s="397"/>
      <c r="BA588" s="397"/>
      <c r="BB588" s="397"/>
      <c r="BC588" s="397"/>
    </row>
    <row r="589" spans="1:55" s="40" customFormat="1" x14ac:dyDescent="0.4">
      <c r="A589" s="50"/>
      <c r="B589" s="1038"/>
      <c r="C589" s="1038"/>
      <c r="D589" s="245" t="s">
        <v>48</v>
      </c>
      <c r="F589" s="397"/>
      <c r="G589" s="397"/>
      <c r="H589" s="240"/>
      <c r="I589" s="397"/>
      <c r="J589" s="397"/>
      <c r="K589" s="397"/>
      <c r="L589" s="397"/>
      <c r="M589" s="397"/>
      <c r="N589" s="397"/>
      <c r="O589" s="397"/>
      <c r="P589" s="397"/>
      <c r="Q589" s="397"/>
      <c r="R589" s="397"/>
      <c r="S589" s="397"/>
      <c r="T589" s="397"/>
      <c r="U589" s="397"/>
      <c r="V589" s="397"/>
      <c r="W589" s="397"/>
      <c r="X589" s="397"/>
      <c r="Y589" s="397"/>
      <c r="Z589" s="397"/>
      <c r="AA589" s="397"/>
      <c r="AB589" s="397"/>
      <c r="AC589" s="397"/>
      <c r="AD589" s="762"/>
      <c r="AH589" s="397"/>
      <c r="AI589" s="397"/>
      <c r="AJ589" s="397"/>
      <c r="AK589" s="397"/>
      <c r="AL589" s="397"/>
      <c r="AM589" s="397"/>
      <c r="AN589" s="397"/>
      <c r="AO589" s="397"/>
      <c r="AP589" s="397"/>
      <c r="AQ589" s="397"/>
      <c r="AR589" s="397"/>
      <c r="AS589" s="397"/>
      <c r="AT589" s="397"/>
      <c r="AU589" s="397"/>
      <c r="AV589" s="397"/>
      <c r="AW589" s="397"/>
      <c r="AX589" s="397"/>
      <c r="AY589" s="397"/>
      <c r="AZ589" s="397"/>
      <c r="BA589" s="397"/>
      <c r="BB589" s="397"/>
      <c r="BC589" s="397"/>
    </row>
    <row r="590" spans="1:55" s="40" customFormat="1" x14ac:dyDescent="0.4">
      <c r="A590" s="50"/>
      <c r="B590" s="1038"/>
      <c r="C590" s="1038"/>
      <c r="D590" s="245" t="s">
        <v>48</v>
      </c>
      <c r="F590" s="397"/>
      <c r="G590" s="397"/>
      <c r="H590" s="240"/>
      <c r="I590" s="397"/>
      <c r="J590" s="397"/>
      <c r="K590" s="397"/>
      <c r="L590" s="397"/>
      <c r="M590" s="397"/>
      <c r="N590" s="397"/>
      <c r="O590" s="397"/>
      <c r="P590" s="397"/>
      <c r="Q590" s="397"/>
      <c r="R590" s="397"/>
      <c r="S590" s="397"/>
      <c r="T590" s="397"/>
      <c r="U590" s="397"/>
      <c r="V590" s="397"/>
      <c r="W590" s="397"/>
      <c r="X590" s="397"/>
      <c r="Y590" s="397"/>
      <c r="Z590" s="397"/>
      <c r="AA590" s="397"/>
      <c r="AB590" s="397"/>
      <c r="AC590" s="397"/>
      <c r="AD590" s="762"/>
      <c r="AH590" s="397"/>
      <c r="AI590" s="397"/>
      <c r="AJ590" s="397"/>
      <c r="AK590" s="397"/>
      <c r="AL590" s="397"/>
      <c r="AM590" s="397"/>
      <c r="AN590" s="397"/>
      <c r="AO590" s="397"/>
      <c r="AP590" s="397"/>
      <c r="AQ590" s="397"/>
      <c r="AR590" s="397"/>
      <c r="AS590" s="397"/>
      <c r="AT590" s="397"/>
      <c r="AU590" s="397"/>
      <c r="AV590" s="397"/>
      <c r="AW590" s="397"/>
      <c r="AX590" s="397"/>
      <c r="AY590" s="397"/>
      <c r="AZ590" s="397"/>
      <c r="BA590" s="397"/>
      <c r="BB590" s="397"/>
      <c r="BC590" s="397"/>
    </row>
    <row r="591" spans="1:55" s="40" customFormat="1" x14ac:dyDescent="0.4">
      <c r="A591" s="50"/>
      <c r="B591" s="1038"/>
      <c r="C591" s="1038"/>
      <c r="D591" s="245" t="s">
        <v>48</v>
      </c>
      <c r="F591" s="397"/>
      <c r="G591" s="397"/>
      <c r="H591" s="240"/>
      <c r="I591" s="397"/>
      <c r="J591" s="397"/>
      <c r="K591" s="397"/>
      <c r="L591" s="397"/>
      <c r="M591" s="397"/>
      <c r="N591" s="397"/>
      <c r="O591" s="397"/>
      <c r="P591" s="397"/>
      <c r="Q591" s="397"/>
      <c r="R591" s="397"/>
      <c r="S591" s="397"/>
      <c r="T591" s="397"/>
      <c r="U591" s="397"/>
      <c r="V591" s="397"/>
      <c r="W591" s="397"/>
      <c r="X591" s="397"/>
      <c r="Y591" s="397"/>
      <c r="Z591" s="397"/>
      <c r="AA591" s="397"/>
      <c r="AB591" s="397"/>
      <c r="AC591" s="397"/>
      <c r="AD591" s="762"/>
      <c r="AH591" s="397"/>
      <c r="AI591" s="397"/>
      <c r="AJ591" s="397"/>
      <c r="AK591" s="397"/>
      <c r="AL591" s="397"/>
      <c r="AM591" s="397"/>
      <c r="AN591" s="397"/>
      <c r="AO591" s="397"/>
      <c r="AP591" s="397"/>
      <c r="AQ591" s="397"/>
      <c r="AR591" s="397"/>
      <c r="AS591" s="397"/>
      <c r="AT591" s="397"/>
      <c r="AU591" s="397"/>
      <c r="AV591" s="397"/>
      <c r="AW591" s="397"/>
      <c r="AX591" s="397"/>
      <c r="AY591" s="397"/>
      <c r="AZ591" s="397"/>
      <c r="BA591" s="397"/>
      <c r="BB591" s="397"/>
      <c r="BC591" s="397"/>
    </row>
    <row r="592" spans="1:55" s="40" customFormat="1" x14ac:dyDescent="0.4">
      <c r="A592" s="50"/>
      <c r="B592" s="1038"/>
      <c r="C592" s="1038"/>
      <c r="D592" s="245" t="s">
        <v>48</v>
      </c>
      <c r="F592" s="397"/>
      <c r="G592" s="397"/>
      <c r="H592" s="240"/>
      <c r="I592" s="397"/>
      <c r="J592" s="397"/>
      <c r="K592" s="397"/>
      <c r="L592" s="397"/>
      <c r="M592" s="397"/>
      <c r="N592" s="397"/>
      <c r="O592" s="397"/>
      <c r="P592" s="397"/>
      <c r="Q592" s="397"/>
      <c r="R592" s="397"/>
      <c r="S592" s="397"/>
      <c r="T592" s="397"/>
      <c r="U592" s="397"/>
      <c r="V592" s="397"/>
      <c r="W592" s="397"/>
      <c r="X592" s="397"/>
      <c r="Y592" s="397"/>
      <c r="Z592" s="397"/>
      <c r="AA592" s="397"/>
      <c r="AB592" s="397"/>
      <c r="AC592" s="397"/>
      <c r="AD592" s="762"/>
      <c r="AH592" s="397"/>
      <c r="AI592" s="397"/>
      <c r="AJ592" s="397"/>
      <c r="AK592" s="397"/>
      <c r="AL592" s="397"/>
      <c r="AM592" s="397"/>
      <c r="AN592" s="397"/>
      <c r="AO592" s="397"/>
      <c r="AP592" s="397"/>
      <c r="AQ592" s="397"/>
      <c r="AR592" s="397"/>
      <c r="AS592" s="397"/>
      <c r="AT592" s="397"/>
      <c r="AU592" s="397"/>
      <c r="AV592" s="397"/>
      <c r="AW592" s="397"/>
      <c r="AX592" s="397"/>
      <c r="AY592" s="397"/>
      <c r="AZ592" s="397"/>
      <c r="BA592" s="397"/>
      <c r="BB592" s="397"/>
      <c r="BC592" s="397"/>
    </row>
    <row r="593" spans="1:55" s="40" customFormat="1" x14ac:dyDescent="0.4">
      <c r="A593" s="50"/>
      <c r="B593" s="1038"/>
      <c r="C593" s="1038"/>
      <c r="D593" s="245" t="s">
        <v>48</v>
      </c>
      <c r="F593" s="397"/>
      <c r="G593" s="397"/>
      <c r="H593" s="240"/>
      <c r="I593" s="397"/>
      <c r="J593" s="397"/>
      <c r="K593" s="397"/>
      <c r="L593" s="397"/>
      <c r="M593" s="397"/>
      <c r="N593" s="397"/>
      <c r="O593" s="397"/>
      <c r="P593" s="397"/>
      <c r="Q593" s="397"/>
      <c r="R593" s="397"/>
      <c r="S593" s="397"/>
      <c r="T593" s="397"/>
      <c r="U593" s="397"/>
      <c r="V593" s="397"/>
      <c r="W593" s="397"/>
      <c r="X593" s="397"/>
      <c r="Y593" s="397"/>
      <c r="Z593" s="397"/>
      <c r="AA593" s="397"/>
      <c r="AB593" s="397"/>
      <c r="AC593" s="397"/>
      <c r="AD593" s="762"/>
      <c r="AH593" s="397"/>
      <c r="AI593" s="397"/>
      <c r="AJ593" s="397"/>
      <c r="AK593" s="397"/>
      <c r="AL593" s="397"/>
      <c r="AM593" s="397"/>
      <c r="AN593" s="397"/>
      <c r="AO593" s="397"/>
      <c r="AP593" s="397"/>
      <c r="AQ593" s="397"/>
      <c r="AR593" s="397"/>
      <c r="AS593" s="397"/>
      <c r="AT593" s="397"/>
      <c r="AU593" s="397"/>
      <c r="AV593" s="397"/>
      <c r="AW593" s="397"/>
      <c r="AX593" s="397"/>
      <c r="AY593" s="397"/>
      <c r="AZ593" s="397"/>
      <c r="BA593" s="397"/>
      <c r="BB593" s="397"/>
      <c r="BC593" s="397"/>
    </row>
    <row r="594" spans="1:55" s="40" customFormat="1" x14ac:dyDescent="0.4">
      <c r="A594" s="50"/>
      <c r="B594" s="1038"/>
      <c r="C594" s="1038"/>
      <c r="D594" s="245" t="s">
        <v>48</v>
      </c>
      <c r="F594" s="397"/>
      <c r="G594" s="397"/>
      <c r="H594" s="240"/>
      <c r="I594" s="397"/>
      <c r="J594" s="397"/>
      <c r="K594" s="397"/>
      <c r="L594" s="397"/>
      <c r="M594" s="397"/>
      <c r="N594" s="397"/>
      <c r="O594" s="397"/>
      <c r="P594" s="397"/>
      <c r="Q594" s="397"/>
      <c r="R594" s="397"/>
      <c r="S594" s="397"/>
      <c r="T594" s="397"/>
      <c r="U594" s="397"/>
      <c r="V594" s="397"/>
      <c r="W594" s="397"/>
      <c r="X594" s="397"/>
      <c r="Y594" s="397"/>
      <c r="Z594" s="397"/>
      <c r="AA594" s="397"/>
      <c r="AB594" s="397"/>
      <c r="AC594" s="397"/>
      <c r="AD594" s="762"/>
      <c r="AH594" s="397"/>
      <c r="AI594" s="397"/>
      <c r="AJ594" s="397"/>
      <c r="AK594" s="397"/>
      <c r="AL594" s="397"/>
      <c r="AM594" s="397"/>
      <c r="AN594" s="397"/>
      <c r="AO594" s="397"/>
      <c r="AP594" s="397"/>
      <c r="AQ594" s="397"/>
      <c r="AR594" s="397"/>
      <c r="AS594" s="397"/>
      <c r="AT594" s="397"/>
      <c r="AU594" s="397"/>
      <c r="AV594" s="397"/>
      <c r="AW594" s="397"/>
      <c r="AX594" s="397"/>
      <c r="AY594" s="397"/>
      <c r="AZ594" s="397"/>
      <c r="BA594" s="397"/>
      <c r="BB594" s="397"/>
      <c r="BC594" s="397"/>
    </row>
    <row r="595" spans="1:55" s="40" customFormat="1" x14ac:dyDescent="0.4">
      <c r="A595" s="50"/>
      <c r="B595" s="1038"/>
      <c r="C595" s="1038"/>
      <c r="D595" s="245" t="s">
        <v>48</v>
      </c>
      <c r="F595" s="397"/>
      <c r="G595" s="397"/>
      <c r="H595" s="240"/>
      <c r="I595" s="397"/>
      <c r="J595" s="397"/>
      <c r="K595" s="397"/>
      <c r="L595" s="397"/>
      <c r="M595" s="397"/>
      <c r="N595" s="397"/>
      <c r="O595" s="397"/>
      <c r="P595" s="397"/>
      <c r="Q595" s="397"/>
      <c r="R595" s="397"/>
      <c r="S595" s="397"/>
      <c r="T595" s="397"/>
      <c r="U595" s="397"/>
      <c r="V595" s="397"/>
      <c r="W595" s="397"/>
      <c r="X595" s="397"/>
      <c r="Y595" s="397"/>
      <c r="Z595" s="397"/>
      <c r="AA595" s="397"/>
      <c r="AB595" s="397"/>
      <c r="AC595" s="397"/>
      <c r="AD595" s="762"/>
      <c r="AH595" s="397"/>
      <c r="AI595" s="397"/>
      <c r="AJ595" s="397"/>
      <c r="AK595" s="397"/>
      <c r="AL595" s="397"/>
      <c r="AM595" s="397"/>
      <c r="AN595" s="397"/>
      <c r="AO595" s="397"/>
      <c r="AP595" s="397"/>
      <c r="AQ595" s="397"/>
      <c r="AR595" s="397"/>
      <c r="AS595" s="397"/>
      <c r="AT595" s="397"/>
      <c r="AU595" s="397"/>
      <c r="AV595" s="397"/>
      <c r="AW595" s="397"/>
      <c r="AX595" s="397"/>
      <c r="AY595" s="397"/>
      <c r="AZ595" s="397"/>
      <c r="BA595" s="397"/>
      <c r="BB595" s="397"/>
      <c r="BC595" s="397"/>
    </row>
    <row r="596" spans="1:55" s="40" customFormat="1" x14ac:dyDescent="0.4">
      <c r="A596" s="50"/>
      <c r="B596" s="1038"/>
      <c r="C596" s="1038"/>
      <c r="D596" s="245" t="s">
        <v>48</v>
      </c>
      <c r="F596" s="397"/>
      <c r="G596" s="397"/>
      <c r="H596" s="240"/>
      <c r="I596" s="397"/>
      <c r="J596" s="397"/>
      <c r="K596" s="397"/>
      <c r="L596" s="397"/>
      <c r="M596" s="397"/>
      <c r="N596" s="397"/>
      <c r="O596" s="397"/>
      <c r="P596" s="397"/>
      <c r="Q596" s="397"/>
      <c r="R596" s="397"/>
      <c r="S596" s="397"/>
      <c r="T596" s="397"/>
      <c r="U596" s="397"/>
      <c r="V596" s="397"/>
      <c r="W596" s="397"/>
      <c r="X596" s="397"/>
      <c r="Y596" s="397"/>
      <c r="Z596" s="397"/>
      <c r="AA596" s="397"/>
      <c r="AB596" s="397"/>
      <c r="AC596" s="397"/>
      <c r="AD596" s="762"/>
      <c r="AH596" s="397"/>
      <c r="AI596" s="397"/>
      <c r="AJ596" s="397"/>
      <c r="AK596" s="397"/>
      <c r="AL596" s="397"/>
      <c r="AM596" s="397"/>
      <c r="AN596" s="397"/>
      <c r="AO596" s="397"/>
      <c r="AP596" s="397"/>
      <c r="AQ596" s="397"/>
      <c r="AR596" s="397"/>
      <c r="AS596" s="397"/>
      <c r="AT596" s="397"/>
      <c r="AU596" s="397"/>
      <c r="AV596" s="397"/>
      <c r="AW596" s="397"/>
      <c r="AX596" s="397"/>
      <c r="AY596" s="397"/>
      <c r="AZ596" s="397"/>
      <c r="BA596" s="397"/>
      <c r="BB596" s="397"/>
      <c r="BC596" s="397"/>
    </row>
    <row r="597" spans="1:55" s="40" customFormat="1" x14ac:dyDescent="0.4">
      <c r="A597" s="50"/>
      <c r="B597" s="1038"/>
      <c r="C597" s="1038"/>
      <c r="D597" s="245" t="s">
        <v>48</v>
      </c>
      <c r="F597" s="397"/>
      <c r="G597" s="397"/>
      <c r="H597" s="240"/>
      <c r="I597" s="397"/>
      <c r="J597" s="397"/>
      <c r="K597" s="397"/>
      <c r="L597" s="397"/>
      <c r="M597" s="397"/>
      <c r="N597" s="397"/>
      <c r="O597" s="397"/>
      <c r="P597" s="397"/>
      <c r="Q597" s="397"/>
      <c r="R597" s="397"/>
      <c r="S597" s="397"/>
      <c r="T597" s="397"/>
      <c r="U597" s="397"/>
      <c r="V597" s="397"/>
      <c r="W597" s="397"/>
      <c r="X597" s="397"/>
      <c r="Y597" s="397"/>
      <c r="Z597" s="397"/>
      <c r="AA597" s="397"/>
      <c r="AB597" s="397"/>
      <c r="AC597" s="397"/>
      <c r="AD597" s="762"/>
      <c r="AH597" s="397"/>
      <c r="AI597" s="397"/>
      <c r="AJ597" s="397"/>
      <c r="AK597" s="397"/>
      <c r="AL597" s="397"/>
      <c r="AM597" s="397"/>
      <c r="AN597" s="397"/>
      <c r="AO597" s="397"/>
      <c r="AP597" s="397"/>
      <c r="AQ597" s="397"/>
      <c r="AR597" s="397"/>
      <c r="AS597" s="397"/>
      <c r="AT597" s="397"/>
      <c r="AU597" s="397"/>
      <c r="AV597" s="397"/>
      <c r="AW597" s="397"/>
      <c r="AX597" s="397"/>
      <c r="AY597" s="397"/>
      <c r="AZ597" s="397"/>
      <c r="BA597" s="397"/>
      <c r="BB597" s="397"/>
      <c r="BC597" s="397"/>
    </row>
    <row r="598" spans="1:55" s="40" customFormat="1" x14ac:dyDescent="0.4">
      <c r="A598" s="50"/>
      <c r="B598" s="1038"/>
      <c r="C598" s="1038"/>
      <c r="D598" s="245" t="s">
        <v>48</v>
      </c>
      <c r="F598" s="397"/>
      <c r="G598" s="397"/>
      <c r="H598" s="240"/>
      <c r="I598" s="397"/>
      <c r="J598" s="397"/>
      <c r="K598" s="397"/>
      <c r="L598" s="397"/>
      <c r="M598" s="397"/>
      <c r="N598" s="397"/>
      <c r="O598" s="397"/>
      <c r="P598" s="397"/>
      <c r="Q598" s="397"/>
      <c r="R598" s="397"/>
      <c r="S598" s="397"/>
      <c r="T598" s="397"/>
      <c r="U598" s="397"/>
      <c r="V598" s="397"/>
      <c r="W598" s="397"/>
      <c r="X598" s="397"/>
      <c r="Y598" s="397"/>
      <c r="Z598" s="397"/>
      <c r="AA598" s="397"/>
      <c r="AB598" s="397"/>
      <c r="AC598" s="397"/>
      <c r="AD598" s="762"/>
      <c r="AH598" s="397"/>
      <c r="AI598" s="397"/>
      <c r="AJ598" s="397"/>
      <c r="AK598" s="397"/>
      <c r="AL598" s="397"/>
      <c r="AM598" s="397"/>
      <c r="AN598" s="397"/>
      <c r="AO598" s="397"/>
      <c r="AP598" s="397"/>
      <c r="AQ598" s="397"/>
      <c r="AR598" s="397"/>
      <c r="AS598" s="397"/>
      <c r="AT598" s="397"/>
      <c r="AU598" s="397"/>
      <c r="AV598" s="397"/>
      <c r="AW598" s="397"/>
      <c r="AX598" s="397"/>
      <c r="AY598" s="397"/>
      <c r="AZ598" s="397"/>
      <c r="BA598" s="397"/>
      <c r="BB598" s="397"/>
      <c r="BC598" s="397"/>
    </row>
    <row r="599" spans="1:55" s="40" customFormat="1" x14ac:dyDescent="0.4">
      <c r="A599" s="50"/>
      <c r="B599" s="1038"/>
      <c r="C599" s="1038"/>
      <c r="D599" s="245"/>
      <c r="F599" s="397"/>
      <c r="G599" s="397"/>
      <c r="H599" s="240"/>
      <c r="I599" s="397"/>
      <c r="J599" s="397"/>
      <c r="K599" s="397"/>
      <c r="L599" s="397"/>
      <c r="M599" s="397"/>
      <c r="N599" s="397"/>
      <c r="O599" s="397"/>
      <c r="P599" s="397"/>
      <c r="Q599" s="397"/>
      <c r="R599" s="397"/>
      <c r="S599" s="397"/>
      <c r="T599" s="397"/>
      <c r="U599" s="397"/>
      <c r="V599" s="397"/>
      <c r="W599" s="397"/>
      <c r="X599" s="397"/>
      <c r="Y599" s="397"/>
      <c r="Z599" s="397"/>
      <c r="AA599" s="397"/>
      <c r="AB599" s="397"/>
      <c r="AC599" s="397"/>
      <c r="AD599" s="762"/>
      <c r="AH599" s="397"/>
      <c r="AI599" s="397"/>
      <c r="AJ599" s="397"/>
      <c r="AK599" s="397"/>
      <c r="AL599" s="397"/>
      <c r="AM599" s="397"/>
      <c r="AN599" s="397"/>
      <c r="AO599" s="397"/>
      <c r="AP599" s="397"/>
      <c r="AQ599" s="397"/>
      <c r="AR599" s="397"/>
      <c r="AS599" s="397"/>
      <c r="AT599" s="397"/>
      <c r="AU599" s="397"/>
      <c r="AV599" s="397"/>
      <c r="AW599" s="397"/>
      <c r="AX599" s="397"/>
      <c r="AY599" s="397"/>
      <c r="AZ599" s="397"/>
      <c r="BA599" s="397"/>
      <c r="BB599" s="397"/>
      <c r="BC599" s="397"/>
    </row>
    <row r="600" spans="1:55" s="966" customFormat="1" ht="27" customHeight="1" x14ac:dyDescent="0.4">
      <c r="A600" s="1045"/>
      <c r="B600" s="1045"/>
      <c r="C600" s="1045"/>
      <c r="E600" s="966" t="str">
        <f>$E$211</f>
        <v>FRAMREIKNUÐ LOSUN</v>
      </c>
      <c r="F600" s="967"/>
      <c r="G600" s="967"/>
      <c r="H600" s="967"/>
      <c r="I600" s="967"/>
      <c r="J600" s="967"/>
      <c r="K600" s="967"/>
      <c r="L600" s="967"/>
      <c r="M600" s="967"/>
      <c r="N600" s="967"/>
      <c r="O600" s="967"/>
      <c r="P600" s="967"/>
      <c r="Q600" s="967"/>
      <c r="R600" s="967"/>
      <c r="S600" s="967"/>
      <c r="T600" s="967"/>
      <c r="U600" s="967"/>
      <c r="V600" s="967"/>
      <c r="W600" s="967"/>
      <c r="X600" s="967"/>
      <c r="Y600" s="967"/>
      <c r="Z600" s="967"/>
      <c r="AA600" s="967"/>
      <c r="AB600" s="967"/>
      <c r="AC600" s="967"/>
      <c r="AD600" s="968"/>
      <c r="AG600" s="966" t="str">
        <f>$AG$211</f>
        <v>EMISSION PROJECTIONS</v>
      </c>
      <c r="AH600" s="967"/>
      <c r="AI600" s="967"/>
      <c r="AJ600" s="967"/>
      <c r="AK600" s="967"/>
      <c r="AL600" s="967"/>
      <c r="AM600" s="967"/>
      <c r="AN600" s="967"/>
      <c r="AO600" s="967"/>
      <c r="AP600" s="967"/>
      <c r="AQ600" s="967"/>
      <c r="AR600" s="967"/>
      <c r="AS600" s="967"/>
      <c r="AT600" s="967"/>
      <c r="AU600" s="967"/>
      <c r="AV600" s="967"/>
      <c r="AW600" s="967"/>
      <c r="AX600" s="967"/>
      <c r="AY600" s="967"/>
      <c r="AZ600" s="967"/>
      <c r="BA600" s="967"/>
      <c r="BB600" s="967"/>
      <c r="BC600" s="967"/>
    </row>
    <row r="601" spans="1:55" s="40" customFormat="1" x14ac:dyDescent="0.4">
      <c r="A601" s="50"/>
      <c r="B601" s="1038"/>
      <c r="C601" s="1038"/>
      <c r="D601" s="245" t="s">
        <v>48</v>
      </c>
      <c r="F601" s="397"/>
      <c r="G601" s="397"/>
      <c r="H601" s="240"/>
      <c r="I601" s="397"/>
      <c r="J601" s="397"/>
      <c r="K601" s="397"/>
      <c r="L601" s="397"/>
      <c r="M601" s="397"/>
      <c r="N601" s="397"/>
      <c r="O601" s="397"/>
      <c r="P601" s="397"/>
      <c r="Q601" s="397"/>
      <c r="R601" s="397"/>
      <c r="S601" s="397"/>
      <c r="T601" s="397"/>
      <c r="U601" s="397"/>
      <c r="V601" s="397"/>
      <c r="W601" s="397"/>
      <c r="X601" s="397"/>
      <c r="Y601" s="397"/>
      <c r="Z601" s="397"/>
      <c r="AA601" s="397"/>
      <c r="AB601" s="397"/>
      <c r="AC601" s="397"/>
      <c r="AD601" s="762"/>
      <c r="AH601" s="397"/>
      <c r="AI601" s="397"/>
      <c r="AJ601" s="397"/>
      <c r="AK601" s="397"/>
      <c r="AL601" s="397"/>
      <c r="AM601" s="397"/>
      <c r="AN601" s="397"/>
      <c r="AO601" s="397"/>
      <c r="AP601" s="397"/>
      <c r="AQ601" s="397"/>
      <c r="AR601" s="397"/>
      <c r="AS601" s="397"/>
      <c r="AT601" s="397"/>
      <c r="AU601" s="397"/>
      <c r="AV601" s="397"/>
      <c r="AW601" s="397"/>
      <c r="AX601" s="397"/>
      <c r="AY601" s="397"/>
      <c r="AZ601" s="397"/>
      <c r="BA601" s="397"/>
      <c r="BB601" s="397"/>
      <c r="BC601" s="397"/>
    </row>
    <row r="602" spans="1:55" s="40" customFormat="1" x14ac:dyDescent="0.4">
      <c r="A602" s="50"/>
      <c r="B602" s="1038"/>
      <c r="C602" s="1038"/>
      <c r="D602" s="245" t="s">
        <v>48</v>
      </c>
      <c r="F602" s="397"/>
      <c r="G602" s="397"/>
      <c r="H602" s="240"/>
      <c r="I602" s="397"/>
      <c r="J602" s="397"/>
      <c r="K602" s="397"/>
      <c r="L602" s="397"/>
      <c r="M602" s="397"/>
      <c r="N602" s="397"/>
      <c r="O602" s="397"/>
      <c r="P602" s="397"/>
      <c r="Q602" s="397"/>
      <c r="R602" s="397"/>
      <c r="S602" s="397"/>
      <c r="T602" s="397"/>
      <c r="U602" s="397"/>
      <c r="V602" s="397"/>
      <c r="W602" s="397"/>
      <c r="X602" s="397"/>
      <c r="Y602" s="397"/>
      <c r="Z602" s="397"/>
      <c r="AA602" s="397"/>
      <c r="AB602" s="397"/>
      <c r="AC602" s="397"/>
      <c r="AD602" s="762"/>
      <c r="AH602" s="397"/>
      <c r="AI602" s="397"/>
      <c r="AJ602" s="397"/>
      <c r="AK602" s="397"/>
      <c r="AL602" s="240"/>
      <c r="AM602" s="397"/>
      <c r="AN602" s="397"/>
      <c r="AO602" s="397"/>
      <c r="AP602" s="397"/>
      <c r="AQ602" s="397"/>
      <c r="AR602" s="397"/>
      <c r="AS602" s="397"/>
      <c r="AT602" s="397"/>
      <c r="AU602" s="397"/>
      <c r="AV602" s="397"/>
      <c r="AW602" s="397"/>
      <c r="AX602" s="397"/>
      <c r="AY602" s="397"/>
      <c r="AZ602" s="397"/>
      <c r="BA602" s="397"/>
      <c r="BB602" s="397"/>
      <c r="BC602" s="397"/>
    </row>
    <row r="626" spans="1:55" s="118" customFormat="1" ht="81.75" customHeight="1" x14ac:dyDescent="0.4">
      <c r="A626" s="1054"/>
      <c r="B626" s="1054"/>
      <c r="C626" s="1054"/>
      <c r="E626" s="1073" t="s">
        <v>14</v>
      </c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775"/>
      <c r="AG626" s="118" t="s">
        <v>190</v>
      </c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</row>
    <row r="627" spans="1:55" s="40" customFormat="1" x14ac:dyDescent="0.4">
      <c r="A627" s="50"/>
      <c r="B627" s="1038"/>
      <c r="C627" s="1038"/>
      <c r="D627" s="245" t="s">
        <v>48</v>
      </c>
      <c r="F627" s="397"/>
      <c r="G627" s="397"/>
      <c r="H627" s="240"/>
      <c r="I627" s="397"/>
      <c r="J627" s="397"/>
      <c r="K627" s="397"/>
      <c r="L627" s="397"/>
      <c r="M627" s="397"/>
      <c r="N627" s="397"/>
      <c r="O627" s="397"/>
      <c r="P627" s="397"/>
      <c r="Q627" s="397"/>
      <c r="R627" s="397"/>
      <c r="S627" s="397"/>
      <c r="T627" s="397"/>
      <c r="U627" s="397"/>
      <c r="V627" s="397"/>
      <c r="W627" s="397"/>
      <c r="X627" s="397"/>
      <c r="Y627" s="397"/>
      <c r="Z627" s="397"/>
      <c r="AA627" s="397"/>
      <c r="AB627" s="397"/>
      <c r="AC627" s="397"/>
      <c r="AD627" s="762"/>
      <c r="AH627" s="397"/>
      <c r="AI627" s="397"/>
      <c r="AJ627" s="397"/>
      <c r="AK627" s="397"/>
      <c r="AL627" s="397"/>
      <c r="AM627" s="397"/>
      <c r="AN627" s="397"/>
      <c r="AO627" s="397"/>
      <c r="AP627" s="397"/>
      <c r="AQ627" s="397"/>
      <c r="AR627" s="397"/>
      <c r="AS627" s="397"/>
      <c r="AT627" s="397"/>
      <c r="AU627" s="397"/>
      <c r="AV627" s="397"/>
      <c r="AW627" s="397"/>
      <c r="AX627" s="397"/>
      <c r="AY627" s="397"/>
      <c r="AZ627" s="397"/>
      <c r="BA627" s="397"/>
      <c r="BB627" s="397"/>
      <c r="BC627" s="397"/>
    </row>
    <row r="628" spans="1:55" ht="47.4" customHeight="1" x14ac:dyDescent="0.4">
      <c r="D628" s="236"/>
      <c r="E628" s="1212" t="str">
        <f>"STAÐAN ÁRIÐ "&amp;$A$1</f>
        <v>STAÐAN ÁRIÐ 2024</v>
      </c>
      <c r="F628" s="937"/>
      <c r="G628" s="937"/>
      <c r="H628" s="937"/>
      <c r="I628" s="937"/>
      <c r="J628" s="937"/>
      <c r="K628" s="937"/>
      <c r="L628" s="937"/>
      <c r="M628" s="937"/>
      <c r="O628" s="1212" t="s">
        <v>403</v>
      </c>
      <c r="P628" s="1214" t="s">
        <v>416</v>
      </c>
      <c r="Q628" s="1215"/>
      <c r="R628" s="1215"/>
      <c r="S628" s="1215"/>
      <c r="AG628" s="1212" t="str">
        <f>$AG$6</f>
        <v>2024 EMISSIONS</v>
      </c>
      <c r="AH628" s="937"/>
      <c r="AI628" s="937"/>
      <c r="AJ628" s="937"/>
      <c r="AK628" s="937"/>
      <c r="AL628" s="937"/>
      <c r="AM628" s="937"/>
      <c r="AN628" s="937"/>
      <c r="AO628" s="937"/>
      <c r="AQ628" s="1212" t="str">
        <f>$AQ$6</f>
        <v>OUTLOOKS</v>
      </c>
      <c r="AR628" s="1214" t="str">
        <f>$AR$6</f>
        <v>Estimated change in emissions based on
With Existing Measures scenario</v>
      </c>
      <c r="AS628" s="1215"/>
      <c r="AT628" s="1215"/>
      <c r="AU628" s="1216"/>
      <c r="AV628" s="1217" t="str">
        <f>$AV$6</f>
        <v>Estimated change in emissions based on
With Addiotional Measures scenario</v>
      </c>
      <c r="AW628" s="1215"/>
    </row>
    <row r="629" spans="1:55" s="40" customFormat="1" ht="16.95" customHeight="1" x14ac:dyDescent="0.4">
      <c r="A629" s="50"/>
      <c r="B629" s="1038"/>
      <c r="C629" s="1038"/>
      <c r="D629" s="245" t="s">
        <v>48</v>
      </c>
      <c r="E629" s="1212"/>
      <c r="F629" s="1218" t="str">
        <f>"Losun "&amp;$A$1</f>
        <v>Losun 2024</v>
      </c>
      <c r="G629" s="1219"/>
      <c r="H629" s="1220" t="str">
        <f>"Breyting frá "&amp;$B$3</f>
        <v>Breyting frá 2023</v>
      </c>
      <c r="I629" s="1219"/>
      <c r="J629" s="1220" t="str">
        <f>"Breyting frá "&amp;$B$2</f>
        <v>Breyting frá 2005</v>
      </c>
      <c r="K629" s="1219"/>
      <c r="L629" s="1220" t="str">
        <f>"Breyting frá "&amp;$B$1</f>
        <v>Breyting frá 1990</v>
      </c>
      <c r="M629" s="1218"/>
      <c r="N629" s="240"/>
      <c r="O629" s="1212"/>
      <c r="P629" s="1220" t="s">
        <v>417</v>
      </c>
      <c r="Q629" s="1219"/>
      <c r="R629" s="1220" t="s">
        <v>418</v>
      </c>
      <c r="S629" s="1218"/>
      <c r="T629" s="397"/>
      <c r="U629" s="397"/>
      <c r="V629" s="397"/>
      <c r="W629" s="397"/>
      <c r="X629" s="397"/>
      <c r="Y629" s="397"/>
      <c r="Z629" s="397"/>
      <c r="AA629" s="397"/>
      <c r="AB629" s="397"/>
      <c r="AC629" s="397"/>
      <c r="AD629" s="762"/>
      <c r="AG629" s="1212"/>
      <c r="AH629" s="1221" t="str">
        <f>$AH$7</f>
        <v>Emissions in 2023</v>
      </c>
      <c r="AI629" s="1219"/>
      <c r="AJ629" s="1220" t="str">
        <f>$AJ$7</f>
        <v>Change from 2022</v>
      </c>
      <c r="AK629" s="1219"/>
      <c r="AL629" s="1220" t="str">
        <f>$AL$7</f>
        <v>Change from 2005</v>
      </c>
      <c r="AM629" s="1219"/>
      <c r="AN629" s="1220" t="str">
        <f>$AN$7</f>
        <v>Change from 1990</v>
      </c>
      <c r="AO629" s="1218"/>
      <c r="AP629" s="240"/>
      <c r="AQ629" s="1212"/>
      <c r="AR629" s="1221" t="str">
        <f>$AR$7</f>
        <v>2030 compared to 2005</v>
      </c>
      <c r="AS629" s="1219"/>
      <c r="AT629" s="1220" t="str">
        <f>$AT$7</f>
        <v>2055 compared to 1990</v>
      </c>
      <c r="AU629" s="1219"/>
      <c r="AV629" s="1220" t="str">
        <f>$AR$7</f>
        <v>2030 compared to 2005</v>
      </c>
      <c r="AW629" s="1219"/>
      <c r="AX629" s="397"/>
      <c r="AY629" s="397"/>
      <c r="AZ629" s="397"/>
      <c r="BA629" s="397"/>
      <c r="BB629" s="397"/>
      <c r="BC629" s="397"/>
    </row>
    <row r="630" spans="1:55" s="40" customFormat="1" ht="17.399999999999999" customHeight="1" thickBot="1" x14ac:dyDescent="0.45">
      <c r="A630" s="50"/>
      <c r="B630" s="1038"/>
      <c r="C630" s="1038"/>
      <c r="D630" s="245" t="s">
        <v>48</v>
      </c>
      <c r="E630" s="1213"/>
      <c r="F630" s="938" t="s">
        <v>432</v>
      </c>
      <c r="G630" s="939" t="s">
        <v>4</v>
      </c>
      <c r="H630" s="938" t="str">
        <f>$F$8</f>
        <v>Þús. tonn CO₂-íg.</v>
      </c>
      <c r="I630" s="939" t="s">
        <v>4</v>
      </c>
      <c r="J630" s="938" t="str">
        <f>$F$8</f>
        <v>Þús. tonn CO₂-íg.</v>
      </c>
      <c r="K630" s="939" t="s">
        <v>4</v>
      </c>
      <c r="L630" s="938" t="str">
        <f>$F$8</f>
        <v>Þús. tonn CO₂-íg.</v>
      </c>
      <c r="M630" s="938" t="s">
        <v>4</v>
      </c>
      <c r="N630" s="240"/>
      <c r="O630" s="1213"/>
      <c r="P630" s="938" t="str">
        <f>$F$8</f>
        <v>Þús. tonn CO₂-íg.</v>
      </c>
      <c r="Q630" s="939" t="s">
        <v>4</v>
      </c>
      <c r="R630" s="938" t="str">
        <f>$F$8</f>
        <v>Þús. tonn CO₂-íg.</v>
      </c>
      <c r="S630" s="938" t="s">
        <v>4</v>
      </c>
      <c r="T630" s="397"/>
      <c r="U630" s="397"/>
      <c r="V630" s="397"/>
      <c r="W630" s="397"/>
      <c r="X630" s="397"/>
      <c r="Y630" s="397"/>
      <c r="Z630" s="397"/>
      <c r="AA630" s="397"/>
      <c r="AB630" s="397"/>
      <c r="AC630" s="397"/>
      <c r="AD630" s="762"/>
      <c r="AG630" s="1213"/>
      <c r="AH630" s="938" t="str">
        <f>$AH$8</f>
        <v>Thousand tons CO₂e</v>
      </c>
      <c r="AI630" s="939" t="s">
        <v>4</v>
      </c>
      <c r="AJ630" s="938" t="str">
        <f>$AH$8</f>
        <v>Thousand tons CO₂e</v>
      </c>
      <c r="AK630" s="939" t="s">
        <v>4</v>
      </c>
      <c r="AL630" s="938" t="str">
        <f>$F$8</f>
        <v>Þús. tonn CO₂-íg.</v>
      </c>
      <c r="AM630" s="939" t="s">
        <v>4</v>
      </c>
      <c r="AN630" s="938" t="str">
        <f>$AH$8</f>
        <v>Thousand tons CO₂e</v>
      </c>
      <c r="AO630" s="938" t="s">
        <v>4</v>
      </c>
      <c r="AP630" s="240"/>
      <c r="AQ630" s="1213"/>
      <c r="AR630" s="938" t="str">
        <f>$AH$8</f>
        <v>Thousand tons CO₂e</v>
      </c>
      <c r="AS630" s="939" t="s">
        <v>4</v>
      </c>
      <c r="AT630" s="938" t="str">
        <f>$AH$8</f>
        <v>Thousand tons CO₂e</v>
      </c>
      <c r="AU630" s="939" t="s">
        <v>4</v>
      </c>
      <c r="AV630" s="938" t="str">
        <f>$AH$8</f>
        <v>Thousand tons CO₂e</v>
      </c>
      <c r="AW630" s="938" t="s">
        <v>4</v>
      </c>
      <c r="AX630" s="397"/>
      <c r="AY630" s="397"/>
      <c r="AZ630" s="397"/>
      <c r="BA630" s="397"/>
      <c r="BB630" s="397"/>
      <c r="BC630" s="397"/>
    </row>
    <row r="631" spans="1:55" s="40" customFormat="1" ht="21" customHeight="1" thickTop="1" x14ac:dyDescent="0.4">
      <c r="A631" s="50" t="s">
        <v>76</v>
      </c>
      <c r="B631" s="50" t="s">
        <v>336</v>
      </c>
      <c r="C631" s="50" t="s">
        <v>340</v>
      </c>
      <c r="D631" s="245" t="s">
        <v>48</v>
      </c>
      <c r="E631" s="941" t="str">
        <f>'Talnagögn | Numerical Data'!$D$200</f>
        <v>Urðun úrgangs</v>
      </c>
      <c r="F631" s="934" cm="1">
        <f t="array" ref="F631">INDEX('Talnagögn | Numerical Data'!$1:$1048576,_xlfn.XMATCH($A631,'Talnagögn | Numerical Data'!$A:$A),_xlfn.XMATCH($A$1,'Talnagögn | Numerical Data'!$1:$1))</f>
        <v>203.07062729519799</v>
      </c>
      <c r="G631" s="945">
        <f>$F$631/$F$635</f>
        <v>0.85216398445122188</v>
      </c>
      <c r="H631" s="935" cm="1">
        <f t="array" ref="H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Data'!$A:$A),_xlfn.XMATCH($B$3,'Talnagögn | Numerical Data'!$1:$1))</f>
        <v>-12.524358923238651</v>
      </c>
      <c r="I631" s="947" cm="1">
        <f t="array" ref="I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Data'!$A:$A),_xlfn.XMATCH($B$3,'Talnagögn | Numerical Data'!$1:$1))-1</f>
        <v>-5.8092069499933618E-2</v>
      </c>
      <c r="J631" s="935" cm="1">
        <f t="array" ref="J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Data'!$A:$A),_xlfn.XMATCH($B$2,'Talnagögn | Numerical Data'!$1:$1))</f>
        <v>-80.810109737760968</v>
      </c>
      <c r="K631" s="945" cm="1">
        <f t="array" ref="K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Data'!$A:$A),_xlfn.XMATCH($B$2,'Talnagögn | Numerical Data'!$1:$1))-1</f>
        <v>-0.28466218096502549</v>
      </c>
      <c r="L631" s="935" cm="1">
        <f t="array" ref="L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Data'!$A:$A),_xlfn.XMATCH($B$1,'Talnagögn | Numerical Data'!$1:$1))</f>
        <v>30.534565689466149</v>
      </c>
      <c r="M631" s="936" cm="1">
        <f t="array" ref="M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Data'!$A:$A),_xlfn.XMATCH($B$1,'Talnagögn | Numerical Data'!$1:$1))-1</f>
        <v>0.17697497789906524</v>
      </c>
      <c r="N631" s="397"/>
      <c r="O631" s="941" t="str">
        <f>'Talnagögn | Numerical Data'!$D$200</f>
        <v>Urðun úrgangs</v>
      </c>
      <c r="P631" s="935" cm="1">
        <f t="array" ref="P631">INDEX('Talnagögn | Numerical Data'!$1:$1048576,_xlfn.XMATCH($B631,'Talnagögn | Numerical Data'!$B:$B),_xlfn.XMATCH($B$4,'Talnagögn | Numerical Data'!$1:$1))-INDEX('Talnagögn | Numerical Data'!$1:$1048576,_xlfn.XMATCH($A631,'Talnagögn | Numerical Data'!$A:$A),_xlfn.XMATCH($B$2,'Talnagögn | Numerical Data'!$1:$1))</f>
        <v>-163.02913834685739</v>
      </c>
      <c r="Q631" s="945" cm="1">
        <f t="array" ref="Q631">INDEX('Talnagögn | Numerical Data'!$1:$1048576,_xlfn.XMATCH($B631,'Talnagögn | Numerical Data'!$B:$B),_xlfn.XMATCH($B$4,'Talnagögn | Numerical Data'!$1:$1))/INDEX('Talnagögn | Numerical Data'!$1:$1048576,_xlfn.XMATCH($A631,'Talnagögn | Numerical Data'!$A:$A),_xlfn.XMATCH($B$2,'Talnagögn | Numerical Data'!$1:$1))-1</f>
        <v>-0.57428742806148725</v>
      </c>
      <c r="R631" s="935" cm="1">
        <f t="array" ref="R631">INDEX('Talnagögn | Numerical Data'!$1:$1048576,_xlfn.XMATCH($B631,'Talnagögn | Numerical Data'!$B:$B),_xlfn.XMATCH($B$5,'Talnagögn | Numerical Data'!$1:$1))-INDEX('Talnagögn | Numerical Data'!$1:$1048576,_xlfn.XMATCH($A631,'Talnagögn | Numerical Data'!$A:$A),_xlfn.XMATCH($B$1,'Talnagögn | Numerical Data'!$1:$1))</f>
        <v>-146.8545411861968</v>
      </c>
      <c r="S631" s="985" cm="1">
        <f t="array" ref="S631">INDEX('Talnagögn | Numerical Data'!$1:$1048576,_xlfn.XMATCH($B631,'Talnagögn | Numerical Data'!$B:$B),_xlfn.XMATCH($B$5,'Talnagögn | Numerical Data'!$1:$1))/INDEX('Talnagögn | Numerical Data'!$1:$1048576,_xlfn.XMATCH($A631,'Talnagögn | Numerical Data'!$A:$A),_xlfn.XMATCH($B$1,'Talnagögn | Numerical Data'!$1:$1))-1</f>
        <v>-0.85115273769131927</v>
      </c>
      <c r="AD631" s="776"/>
      <c r="AG631" s="941" t="str">
        <f>'Talnagögn | Numerical Data'!$E$200</f>
        <v>Solid Waste Disposal on Land</v>
      </c>
      <c r="AH631" s="934" cm="1">
        <f t="array" ref="AH631">INDEX('Talnagögn | Numerical Data'!$1:$1048576,_xlfn.XMATCH($A631,'Talnagögn | Numerical Data'!$A:$A),_xlfn.XMATCH($A$1,'Talnagögn | Numerical Data'!$1:$1))</f>
        <v>203.07062729519799</v>
      </c>
      <c r="AI631" s="945">
        <f>$F$631/$F$635</f>
        <v>0.85216398445122188</v>
      </c>
      <c r="AJ631" s="935" cm="1">
        <f t="array" ref="AJ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Data'!$A:$A),_xlfn.XMATCH($B$3,'Talnagögn | Numerical Data'!$1:$1))</f>
        <v>-12.524358923238651</v>
      </c>
      <c r="AK631" s="947" cm="1">
        <f t="array" ref="AK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Data'!$A:$A),_xlfn.XMATCH($B$3,'Talnagögn | Numerical Data'!$1:$1))-1</f>
        <v>-5.8092069499933618E-2</v>
      </c>
      <c r="AL631" s="935" cm="1">
        <f t="array" ref="AL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Data'!$A:$A),_xlfn.XMATCH($B$2,'Talnagögn | Numerical Data'!$1:$1))</f>
        <v>-80.810109737760968</v>
      </c>
      <c r="AM631" s="945" cm="1">
        <f t="array" ref="AM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Data'!$A:$A),_xlfn.XMATCH($B$2,'Talnagögn | Numerical Data'!$1:$1))-1</f>
        <v>-0.28466218096502549</v>
      </c>
      <c r="AN631" s="935" cm="1">
        <f t="array" ref="AN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Data'!$A:$A),_xlfn.XMATCH($B$1,'Talnagögn | Numerical Data'!$1:$1))</f>
        <v>30.534565689466149</v>
      </c>
      <c r="AO631" s="936" cm="1">
        <f t="array" ref="AO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Data'!$A:$A),_xlfn.XMATCH($B$1,'Talnagögn | Numerical Data'!$1:$1))-1</f>
        <v>0.17697497789906524</v>
      </c>
      <c r="AP631" s="397"/>
      <c r="AQ631" s="941" t="str">
        <f>'Talnagögn | Numerical Data'!$E$200</f>
        <v>Solid Waste Disposal on Land</v>
      </c>
      <c r="AR631" s="935" cm="1">
        <f t="array" ref="AR631">INDEX('Talnagögn | Numerical Data'!$1:$1048576,_xlfn.XMATCH($B631,'Talnagögn | Numerical Data'!$B:$B),_xlfn.XMATCH($B$4,'Talnagögn | Numerical Data'!$1:$1))-INDEX('Talnagögn | Numerical Data'!$1:$1048576,_xlfn.XMATCH($A631,'Talnagögn | Numerical Data'!$A:$A),_xlfn.XMATCH($B$2,'Talnagögn | Numerical Data'!$1:$1))</f>
        <v>-163.02913834685739</v>
      </c>
      <c r="AS631" s="945" cm="1">
        <f t="array" ref="AS631">INDEX('Talnagögn | Numerical Data'!$1:$1048576,_xlfn.XMATCH($B631,'Talnagögn | Numerical Data'!$B:$B),_xlfn.XMATCH($B$4,'Talnagögn | Numerical Data'!$1:$1))/INDEX('Talnagögn | Numerical Data'!$1:$1048576,_xlfn.XMATCH($A631,'Talnagögn | Numerical Data'!$A:$A),_xlfn.XMATCH($B$2,'Talnagögn | Numerical Data'!$1:$1))-1</f>
        <v>-0.57428742806148725</v>
      </c>
      <c r="AT631" s="935" cm="1">
        <f t="array" ref="AT631">INDEX('Talnagögn | Numerical Data'!$1:$1048576,_xlfn.XMATCH($B631,'Talnagögn | Numerical Data'!$B:$B),_xlfn.XMATCH($B$5,'Talnagögn | Numerical Data'!$1:$1))-INDEX('Talnagögn | Numerical Data'!$1:$1048576,_xlfn.XMATCH($A631,'Talnagögn | Numerical Data'!$A:$A),_xlfn.XMATCH($B$1,'Talnagögn | Numerical Data'!$1:$1))</f>
        <v>-146.8545411861968</v>
      </c>
      <c r="AU631" s="945" cm="1">
        <f t="array" ref="AU631">INDEX('Talnagögn | Numerical Data'!$1:$1048576,_xlfn.XMATCH($B631,'Talnagögn | Numerical Data'!$B:$B),_xlfn.XMATCH($B$5,'Talnagögn | Numerical Data'!$1:$1))/INDEX('Talnagögn | Numerical Data'!$1:$1048576,_xlfn.XMATCH($A631,'Talnagögn | Numerical Data'!$A:$A),_xlfn.XMATCH($B$1,'Talnagögn | Numerical Data'!$1:$1))-1</f>
        <v>-0.85115273769131927</v>
      </c>
      <c r="AV631" s="935" t="e" cm="1">
        <f t="array" ref="AV631">INDEX('Talnagögn | Numerical Data'!$1:$1048576,_xlfn.XMATCH($C631,'Talnagögn | Numerical Data'!$B:$B),_xlfn.XMATCH($B$4,'Talnagögn | Numerical Data'!$1:$1))-INDEX('Talnagögn | Numerical Data'!$1:$1048576,_xlfn.XMATCH($A631,'Talnagögn | Numerical Data'!$A:$A),_xlfn.XMATCH($B$2,'Talnagögn | Numerical Data'!$1:$1))</f>
        <v>#N/A</v>
      </c>
      <c r="AW631" s="985" t="e" cm="1">
        <f t="array" ref="AW631">INDEX('Talnagögn | Numerical Data'!$1:$1048576,_xlfn.XMATCH($C631,'Talnagögn | Numerical Data'!$B:$B),_xlfn.XMATCH($B$4,'Talnagögn | Numerical Data'!$1:$1))/INDEX('Talnagögn | Numerical Data'!$1:$1048576,_xlfn.XMATCH($A631,'Talnagögn | Numerical Data'!$A:$A),_xlfn.XMATCH($B$2,'Talnagögn | Numerical Data'!$1:$1))-1</f>
        <v>#N/A</v>
      </c>
    </row>
    <row r="632" spans="1:55" s="40" customFormat="1" ht="21" customHeight="1" x14ac:dyDescent="0.4">
      <c r="A632" s="50" t="s">
        <v>77</v>
      </c>
      <c r="B632" s="50" t="s">
        <v>337</v>
      </c>
      <c r="C632" s="50" t="s">
        <v>341</v>
      </c>
      <c r="D632" s="245" t="s">
        <v>48</v>
      </c>
      <c r="E632" s="942" t="str">
        <f>'Talnagögn | Numerical Data'!$D$201</f>
        <v>Jarðgerð</v>
      </c>
      <c r="F632" s="940" cm="1">
        <f t="array" ref="F632">INDEX('Talnagögn | Numerical Data'!$1:$1048576,_xlfn.XMATCH($A632,'Talnagögn | Numerical Data'!$A:$A),_xlfn.XMATCH($A$1,'Talnagögn | Numerical Data'!$1:$1))</f>
        <v>6.6237543773473622</v>
      </c>
      <c r="G632" s="946">
        <f>$F$632/$F$635</f>
        <v>2.7795870813070691E-2</v>
      </c>
      <c r="H632" s="943" cm="1">
        <f t="array" ref="H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Data'!$A:$A),_xlfn.XMATCH($B$3,'Talnagögn | Numerical Data'!$1:$1))</f>
        <v>3.5938993759999938</v>
      </c>
      <c r="I632" s="948" cm="1">
        <f t="array" ref="I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Data'!$A:$A),_xlfn.XMATCH($B$3,'Talnagögn | Numerical Data'!$1:$1))-1</f>
        <v>1.1861621676290768</v>
      </c>
      <c r="J632" s="944" cm="1">
        <f t="array" ref="J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Data'!$A:$A),_xlfn.XMATCH($B$2,'Talnagögn | Numerical Data'!$1:$1))</f>
        <v>5.7457543773473621</v>
      </c>
      <c r="K632" s="948" cm="1">
        <f t="array" ref="K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Data'!$A:$A),_xlfn.XMATCH($B$2,'Talnagögn | Numerical Data'!$1:$1))-1</f>
        <v>6.5441393819446034</v>
      </c>
      <c r="L632" s="944" cm="1">
        <f t="array" ref="L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Data'!$A:$A),_xlfn.XMATCH($B$1,'Talnagögn | Numerical Data'!$1:$1))</f>
        <v>6.6237543773473622</v>
      </c>
      <c r="M632" s="936" t="str" cm="1">
        <f t="array" ref="M632">IFERROR((INDEX('Talnagögn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Data'!$A:$A),_xlfn.XMATCH($B$1,'Talnagögn | Numerical Data'!$1:$1))-1),"─")</f>
        <v>─</v>
      </c>
      <c r="N632" s="397"/>
      <c r="O632" s="942" t="str">
        <f>'Talnagögn | Numerical Data'!$D$201</f>
        <v>Jarðgerð</v>
      </c>
      <c r="P632" s="944" cm="1">
        <f t="array" ref="P632">INDEX('Talnagögn | Numerical Data'!$1:$1048576,_xlfn.XMATCH($B632,'Talnagögn | Numerical Data'!$B:$B),_xlfn.XMATCH($B$4,'Talnagögn | Numerical Data'!$1:$1))-INDEX('Talnagögn | Numerical Data'!$1:$1048576,_xlfn.XMATCH($A632,'Talnagögn | Numerical Data'!$A:$A),_xlfn.XMATCH($B$2,'Talnagögn | Numerical Data'!$1:$1))</f>
        <v>5.5932509557486423</v>
      </c>
      <c r="Q632" s="948" cm="1">
        <f t="array" ref="Q632">INDEX('Talnagögn | Numerical Data'!$1:$1048576,_xlfn.XMATCH($B632,'Talnagögn | Numerical Data'!$B:$B),_xlfn.XMATCH($B$4,'Talnagögn | Numerical Data'!$1:$1))/INDEX('Talnagögn | Numerical Data'!$1:$1048576,_xlfn.XMATCH($A632,'Talnagögn | Numerical Data'!$A:$A),_xlfn.XMATCH($B$2,'Talnagögn | Numerical Data'!$1:$1))-1</f>
        <v>6.3704452798959483</v>
      </c>
      <c r="R632" s="934" cm="1">
        <f t="array" ref="R632">INDEX('Talnagögn | Numerical Data'!$1:$1048576,_xlfn.XMATCH($B632,'Talnagögn | Numerical Data'!$B:$B),_xlfn.XMATCH($B$5,'Talnagögn | Numerical Data'!$1:$1))-INDEX('Talnagögn | Numerical Data'!$1:$1048576,_xlfn.XMATCH($A632,'Talnagögn | Numerical Data'!$A:$A),_xlfn.XMATCH($B$1,'Talnagögn | Numerical Data'!$1:$1))</f>
        <v>10.684324361410678</v>
      </c>
      <c r="S632" s="1129" t="str" cm="1">
        <f t="array" ref="S632">IFERROR(INDEX('Talnagögn | Numerical Data'!$1:$1048576,_xlfn.XMATCH($B632,'Talnagögn | Numerical Data'!$B:$B),_xlfn.XMATCH($B$5,'Talnagögn | Numerical Data'!$1:$1))/INDEX('Talnagögn | Numerical Data'!$1:$1048576,_xlfn.XMATCH($A632,'Talnagögn | Numerical Data'!$A:$A),_xlfn.XMATCH($B$1,'Talnagögn | Numerical Data'!$1:$1))-1,"─")</f>
        <v>─</v>
      </c>
      <c r="AD632" s="776"/>
      <c r="AG632" s="942" t="str">
        <f>'Talnagögn | Numerical Data'!$E$201</f>
        <v>Biological Treatment of Solid Waste</v>
      </c>
      <c r="AH632" s="940" cm="1">
        <f t="array" ref="AH632">INDEX('Talnagögn | Numerical Data'!$1:$1048576,_xlfn.XMATCH($A632,'Talnagögn | Numerical Data'!$A:$A),_xlfn.XMATCH($A$1,'Talnagögn | Numerical Data'!$1:$1))</f>
        <v>6.6237543773473622</v>
      </c>
      <c r="AI632" s="946">
        <f>$F$632/$F$635</f>
        <v>2.7795870813070691E-2</v>
      </c>
      <c r="AJ632" s="944" cm="1">
        <f t="array" ref="AJ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Data'!$A:$A),_xlfn.XMATCH($B$3,'Talnagögn | Numerical Data'!$1:$1))</f>
        <v>3.5938993759999938</v>
      </c>
      <c r="AK632" s="948" cm="1">
        <f t="array" ref="AK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Data'!$A:$A),_xlfn.XMATCH($B$3,'Talnagögn | Numerical Data'!$1:$1))-1</f>
        <v>1.1861621676290768</v>
      </c>
      <c r="AL632" s="944" cm="1">
        <f t="array" ref="AL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Data'!$A:$A),_xlfn.XMATCH($B$2,'Talnagögn | Numerical Data'!$1:$1))</f>
        <v>5.7457543773473621</v>
      </c>
      <c r="AM632" s="948" cm="1">
        <f t="array" ref="AM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Data'!$A:$A),_xlfn.XMATCH($B$2,'Talnagögn | Numerical Data'!$1:$1))-1</f>
        <v>6.5441393819446034</v>
      </c>
      <c r="AN632" s="944" cm="1">
        <f t="array" ref="AN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Data'!$A:$A),_xlfn.XMATCH($B$1,'Talnagögn | Numerical Data'!$1:$1))</f>
        <v>6.6237543773473622</v>
      </c>
      <c r="AO632" s="936" t="str" cm="1">
        <f t="array" ref="AO632">IFERROR((INDEX('Talnagögn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Data'!$A:$A),_xlfn.XMATCH($B$1,'Talnagögn | Numerical Data'!$1:$1))-1),"─")</f>
        <v>─</v>
      </c>
      <c r="AP632" s="397"/>
      <c r="AQ632" s="942" t="str">
        <f>'Talnagögn | Numerical Data'!$E$201</f>
        <v>Biological Treatment of Solid Waste</v>
      </c>
      <c r="AR632" s="944" cm="1">
        <f t="array" ref="AR632">INDEX('Talnagögn | Numerical Data'!$1:$1048576,_xlfn.XMATCH($B632,'Talnagögn | Numerical Data'!$B:$B),_xlfn.XMATCH($B$4,'Talnagögn | Numerical Data'!$1:$1))-INDEX('Talnagögn | Numerical Data'!$1:$1048576,_xlfn.XMATCH($A632,'Talnagögn | Numerical Data'!$A:$A),_xlfn.XMATCH($B$2,'Talnagögn | Numerical Data'!$1:$1))</f>
        <v>5.5932509557486423</v>
      </c>
      <c r="AS632" s="948" cm="1">
        <f t="array" ref="AS632">INDEX('Talnagögn | Numerical Data'!$1:$1048576,_xlfn.XMATCH($B632,'Talnagögn | Numerical Data'!$B:$B),_xlfn.XMATCH($B$4,'Talnagögn | Numerical Data'!$1:$1))/INDEX('Talnagögn | Numerical Data'!$1:$1048576,_xlfn.XMATCH($A632,'Talnagögn | Numerical Data'!$A:$A),_xlfn.XMATCH($B$2,'Talnagögn | Numerical Data'!$1:$1))-1</f>
        <v>6.3704452798959483</v>
      </c>
      <c r="AT632" s="940" cm="1">
        <f t="array" ref="AT632">INDEX('Talnagögn | Numerical Data'!$1:$1048576,_xlfn.XMATCH($B632,'Talnagögn | Numerical Data'!$B:$B),_xlfn.XMATCH($B$5,'Talnagögn | Numerical Data'!$1:$1))-INDEX('Talnagögn | Numerical Data'!$1:$1048576,_xlfn.XMATCH($A632,'Talnagögn | Numerical Data'!$A:$A),_xlfn.XMATCH($B$1,'Talnagögn | Numerical Data'!$1:$1))</f>
        <v>10.684324361410678</v>
      </c>
      <c r="AU632" s="946" t="str" cm="1">
        <f t="array" ref="AU632">IFERROR(INDEX('Talnagögn | Numerical Data'!$1:$1048576,_xlfn.XMATCH($B632,'Talnagögn | Numerical Data'!$B:$B),_xlfn.XMATCH($B$5,'Talnagögn | Numerical Data'!$1:$1))/INDEX('Talnagögn | Numerical Data'!$1:$1048576,_xlfn.XMATCH($A632,'Talnagögn | Numerical Data'!$A:$A),_xlfn.XMATCH($B$1,'Talnagögn | Numerical Data'!$1:$1))-1,"─")</f>
        <v>─</v>
      </c>
      <c r="AV632" s="940" t="e" cm="1">
        <f t="array" ref="AV632">INDEX('Talnagögn | Numerical Data'!$1:$1048576,_xlfn.XMATCH($C632,'Talnagögn | Numerical Data'!$B:$B),_xlfn.XMATCH($B$4,'Talnagögn | Numerical Data'!$1:$1))-INDEX('Talnagögn | Numerical Data'!$1:$1048576,_xlfn.XMATCH($A632,'Talnagögn | Numerical Data'!$A:$A),_xlfn.XMATCH($B$2,'Talnagögn | Numerical Data'!$1:$1))</f>
        <v>#N/A</v>
      </c>
      <c r="AW632" s="936" t="e" cm="1">
        <f t="array" ref="AW632">INDEX('Talnagögn | Numerical Data'!$1:$1048576,_xlfn.XMATCH($C632,'Talnagögn | Numerical Data'!$B:$B),_xlfn.XMATCH($B$4,'Talnagögn | Numerical Data'!$1:$1))/INDEX('Talnagögn | Numerical Data'!$1:$1048576,_xlfn.XMATCH($A632,'Talnagögn | Numerical Data'!$A:$A),_xlfn.XMATCH($B$2,'Talnagögn | Numerical Data'!$1:$1))-1</f>
        <v>#N/A</v>
      </c>
    </row>
    <row r="633" spans="1:55" s="40" customFormat="1" ht="21" customHeight="1" x14ac:dyDescent="0.4">
      <c r="A633" s="50" t="s">
        <v>78</v>
      </c>
      <c r="B633" s="50" t="s">
        <v>338</v>
      </c>
      <c r="C633" s="50" t="s">
        <v>342</v>
      </c>
      <c r="D633" s="245" t="s">
        <v>48</v>
      </c>
      <c r="E633" s="942" t="str">
        <f>'Talnagögn | Numerical Data'!$D$202</f>
        <v>Brennsla og opinn bruni</v>
      </c>
      <c r="F633" s="940" cm="1">
        <f t="array" ref="F633">INDEX('Talnagögn | Numerical Data'!$1:$1048576,_xlfn.XMATCH($A633,'Talnagögn | Numerical Data'!$A:$A),_xlfn.XMATCH($A$1,'Talnagögn | Numerical Data'!$1:$1))</f>
        <v>7.4720719590998144</v>
      </c>
      <c r="G633" s="946">
        <f>$F$633/$F$635</f>
        <v>3.1355744046215966E-2</v>
      </c>
      <c r="H633" s="943" cm="1">
        <f t="array" ref="H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Data'!$A:$A),_xlfn.XMATCH($B$3,'Talnagögn | Numerical Data'!$1:$1))</f>
        <v>0.66427048680592016</v>
      </c>
      <c r="I633" s="946" cm="1">
        <f t="array" ref="I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Data'!$A:$A),_xlfn.XMATCH($B$3,'Talnagögn | Numerical Data'!$1:$1))-1</f>
        <v>9.7574891028967325E-2</v>
      </c>
      <c r="J633" s="944" cm="1">
        <f t="array" ref="J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Data'!$A:$A),_xlfn.XMATCH($B$2,'Talnagögn | Numerical Data'!$1:$1))</f>
        <v>1.9147374120758247</v>
      </c>
      <c r="K633" s="948" cm="1">
        <f t="array" ref="K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Data'!$A:$A),_xlfn.XMATCH($B$2,'Talnagögn | Numerical Data'!$1:$1))-1</f>
        <v>0.34454240533372005</v>
      </c>
      <c r="L633" s="944" cm="1">
        <f t="array" ref="L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Data'!$A:$A),_xlfn.XMATCH($B$1,'Talnagögn | Numerical Data'!$1:$1))</f>
        <v>-8.1279810052457009</v>
      </c>
      <c r="M633" s="936" cm="1">
        <f t="array" ref="M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Data'!$A:$A),_xlfn.XMATCH($B$1,'Talnagögn | Numerical Data'!$1:$1))-1</f>
        <v>-0.52102265446293639</v>
      </c>
      <c r="N633" s="397"/>
      <c r="O633" s="942" t="str">
        <f>'Talnagögn | Numerical Data'!$D$202</f>
        <v>Brennsla og opinn bruni</v>
      </c>
      <c r="P633" s="944" cm="1">
        <f t="array" ref="P633">INDEX('Talnagögn | Numerical Data'!$1:$1048576,_xlfn.XMATCH($B633,'Talnagögn | Numerical Data'!$B:$B),_xlfn.XMATCH($B$4,'Talnagögn | Numerical Data'!$1:$1))-INDEX('Talnagögn | Numerical Data'!$1:$1048576,_xlfn.XMATCH($A633,'Talnagögn | Numerical Data'!$A:$A),_xlfn.XMATCH($B$2,'Talnagögn | Numerical Data'!$1:$1))</f>
        <v>1.6320197727467711</v>
      </c>
      <c r="Q633" s="948" cm="1">
        <f t="array" ref="Q633">INDEX('Talnagögn | Numerical Data'!$1:$1048576,_xlfn.XMATCH($B633,'Talnagögn | Numerical Data'!$B:$B),_xlfn.XMATCH($B$4,'Talnagögn | Numerical Data'!$1:$1))/INDEX('Talnagögn | Numerical Data'!$1:$1048576,_xlfn.XMATCH($A633,'Talnagögn | Numerical Data'!$A:$A),_xlfn.XMATCH($B$2,'Talnagögn | Numerical Data'!$1:$1))-1</f>
        <v>0.29366952069148589</v>
      </c>
      <c r="R633" s="940" cm="1">
        <f t="array" ref="R633">INDEX('Talnagögn | Numerical Data'!$1:$1048576,_xlfn.XMATCH($B633,'Talnagögn | Numerical Data'!$B:$B),_xlfn.XMATCH($B$5,'Talnagögn | Numerical Data'!$1:$1))-INDEX('Talnagögn | Numerical Data'!$1:$1048576,_xlfn.XMATCH($A633,'Talnagögn | Numerical Data'!$A:$A),_xlfn.XMATCH($B$1,'Talnagögn | Numerical Data'!$1:$1))</f>
        <v>-8.4106986445747545</v>
      </c>
      <c r="S633" s="936" cm="1">
        <f t="array" ref="S633">INDEX('Talnagögn | Numerical Data'!$1:$1048576,_xlfn.XMATCH($B633,'Talnagögn | Numerical Data'!$B:$B),_xlfn.XMATCH($B$5,'Talnagögn | Numerical Data'!$1:$1))/INDEX('Talnagögn | Numerical Data'!$1:$1048576,_xlfn.XMATCH($A633,'Talnagögn | Numerical Data'!$A:$A),_xlfn.XMATCH($B$1,'Talnagögn | Numerical Data'!$1:$1))-1</f>
        <v>-0.53914551853110437</v>
      </c>
      <c r="AD633" s="776"/>
      <c r="AG633" s="942" t="str">
        <f>'Talnagögn | Numerical Data'!$E$202</f>
        <v>Incineration and Open Burning</v>
      </c>
      <c r="AH633" s="940" cm="1">
        <f t="array" ref="AH633">INDEX('Talnagögn | Numerical Data'!$1:$1048576,_xlfn.XMATCH($A633,'Talnagögn | Numerical Data'!$A:$A),_xlfn.XMATCH($A$1,'Talnagögn | Numerical Data'!$1:$1))</f>
        <v>7.4720719590998144</v>
      </c>
      <c r="AI633" s="946">
        <f>$F$633/$F$635</f>
        <v>3.1355744046215966E-2</v>
      </c>
      <c r="AJ633" s="943" cm="1">
        <f t="array" ref="AJ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Data'!$A:$A),_xlfn.XMATCH($B$3,'Talnagögn | Numerical Data'!$1:$1))</f>
        <v>0.66427048680592016</v>
      </c>
      <c r="AK633" s="946" cm="1">
        <f t="array" ref="AK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Data'!$A:$A),_xlfn.XMATCH($B$3,'Talnagögn | Numerical Data'!$1:$1))-1</f>
        <v>9.7574891028967325E-2</v>
      </c>
      <c r="AL633" s="944" cm="1">
        <f t="array" ref="AL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Data'!$A:$A),_xlfn.XMATCH($B$2,'Talnagögn | Numerical Data'!$1:$1))</f>
        <v>1.9147374120758247</v>
      </c>
      <c r="AM633" s="948" cm="1">
        <f t="array" ref="AM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Data'!$A:$A),_xlfn.XMATCH($B$2,'Talnagögn | Numerical Data'!$1:$1))-1</f>
        <v>0.34454240533372005</v>
      </c>
      <c r="AN633" s="944" cm="1">
        <f t="array" ref="AN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Data'!$A:$A),_xlfn.XMATCH($B$1,'Talnagögn | Numerical Data'!$1:$1))</f>
        <v>-8.1279810052457009</v>
      </c>
      <c r="AO633" s="936" cm="1">
        <f t="array" ref="AO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Data'!$A:$A),_xlfn.XMATCH($B$1,'Talnagögn | Numerical Data'!$1:$1))-1</f>
        <v>-0.52102265446293639</v>
      </c>
      <c r="AP633" s="397"/>
      <c r="AQ633" s="942" t="str">
        <f>'Talnagögn | Numerical Data'!$E$202</f>
        <v>Incineration and Open Burning</v>
      </c>
      <c r="AR633" s="944" cm="1">
        <f t="array" ref="AR633">INDEX('Talnagögn | Numerical Data'!$1:$1048576,_xlfn.XMATCH($B633,'Talnagögn | Numerical Data'!$B:$B),_xlfn.XMATCH($B$4,'Talnagögn | Numerical Data'!$1:$1))-INDEX('Talnagögn | Numerical Data'!$1:$1048576,_xlfn.XMATCH($A633,'Talnagögn | Numerical Data'!$A:$A),_xlfn.XMATCH($B$2,'Talnagögn | Numerical Data'!$1:$1))</f>
        <v>1.6320197727467711</v>
      </c>
      <c r="AS633" s="948" cm="1">
        <f t="array" ref="AS633">INDEX('Talnagögn | Numerical Data'!$1:$1048576,_xlfn.XMATCH($B633,'Talnagögn | Numerical Data'!$B:$B),_xlfn.XMATCH($B$4,'Talnagögn | Numerical Data'!$1:$1))/INDEX('Talnagögn | Numerical Data'!$1:$1048576,_xlfn.XMATCH($A633,'Talnagögn | Numerical Data'!$A:$A),_xlfn.XMATCH($B$2,'Talnagögn | Numerical Data'!$1:$1))-1</f>
        <v>0.29366952069148589</v>
      </c>
      <c r="AT633" s="940" cm="1">
        <f t="array" ref="AT633">INDEX('Talnagögn | Numerical Data'!$1:$1048576,_xlfn.XMATCH($B633,'Talnagögn | Numerical Data'!$B:$B),_xlfn.XMATCH($B$5,'Talnagögn | Numerical Data'!$1:$1))-INDEX('Talnagögn | Numerical Data'!$1:$1048576,_xlfn.XMATCH($A633,'Talnagögn | Numerical Data'!$A:$A),_xlfn.XMATCH($B$1,'Talnagögn | Numerical Data'!$1:$1))</f>
        <v>-8.4106986445747545</v>
      </c>
      <c r="AU633" s="948" cm="1">
        <f t="array" ref="AU633">INDEX('Talnagögn | Numerical Data'!$1:$1048576,_xlfn.XMATCH($B633,'Talnagögn | Numerical Data'!$B:$B),_xlfn.XMATCH($B$5,'Talnagögn | Numerical Data'!$1:$1))/INDEX('Talnagögn | Numerical Data'!$1:$1048576,_xlfn.XMATCH($A633,'Talnagögn | Numerical Data'!$A:$A),_xlfn.XMATCH($B$1,'Talnagögn | Numerical Data'!$1:$1))-1</f>
        <v>-0.53914551853110437</v>
      </c>
      <c r="AV633" s="940" t="e" cm="1">
        <f t="array" ref="AV633">INDEX('Talnagögn | Numerical Data'!$1:$1048576,_xlfn.XMATCH($C633,'Talnagögn | Numerical Data'!$B:$B),_xlfn.XMATCH($B$4,'Talnagögn | Numerical Data'!$1:$1))-INDEX('Talnagögn | Numerical Data'!$1:$1048576,_xlfn.XMATCH($A633,'Talnagögn | Numerical Data'!$A:$A),_xlfn.XMATCH($B$2,'Talnagögn | Numerical Data'!$1:$1))</f>
        <v>#N/A</v>
      </c>
      <c r="AW633" s="936" t="e" cm="1">
        <f t="array" ref="AW633">INDEX('Talnagögn | Numerical Data'!$1:$1048576,_xlfn.XMATCH($C633,'Talnagögn | Numerical Data'!$B:$B),_xlfn.XMATCH($B$4,'Talnagögn | Numerical Data'!$1:$1))/INDEX('Talnagögn | Numerical Data'!$1:$1048576,_xlfn.XMATCH($A633,'Talnagögn | Numerical Data'!$A:$A),_xlfn.XMATCH($B$2,'Talnagögn | Numerical Data'!$1:$1))-1</f>
        <v>#N/A</v>
      </c>
    </row>
    <row r="634" spans="1:55" s="40" customFormat="1" ht="21" customHeight="1" x14ac:dyDescent="0.4">
      <c r="A634" s="50" t="s">
        <v>79</v>
      </c>
      <c r="B634" s="50" t="s">
        <v>339</v>
      </c>
      <c r="C634" s="50" t="s">
        <v>343</v>
      </c>
      <c r="D634" s="245" t="s">
        <v>48</v>
      </c>
      <c r="E634" s="949" t="str">
        <f>'Talnagögn | Numerical Data'!$D$203</f>
        <v>Meðhöndlun skólps</v>
      </c>
      <c r="F634" s="950" cm="1">
        <f t="array" ref="F634">INDEX('Talnagögn | Numerical Data'!$1:$1048576,_xlfn.XMATCH($A634,'Talnagögn | Numerical Data'!$A:$A),_xlfn.XMATCH($A$1,'Talnagögn | Numerical Data'!$1:$1))</f>
        <v>21.133487460058902</v>
      </c>
      <c r="G634" s="951">
        <f>$F$634/$F$635</f>
        <v>8.8684400689491488E-2</v>
      </c>
      <c r="H634" s="952" cm="1">
        <f t="array" ref="H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Data'!$A:$A),_xlfn.XMATCH($B$3,'Talnagögn | Numerical Data'!$1:$1))</f>
        <v>-0.94273560451910754</v>
      </c>
      <c r="I634" s="951" cm="1">
        <f t="array" ref="I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Data'!$A:$A),_xlfn.XMATCH($B$3,'Talnagögn | Numerical Data'!$1:$1))-1</f>
        <v>-4.270366365484668E-2</v>
      </c>
      <c r="J634" s="953" cm="1">
        <f t="array" ref="J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Data'!$A:$A),_xlfn.XMATCH($B$2,'Talnagögn | Numerical Data'!$1:$1))</f>
        <v>1.9944726901123175</v>
      </c>
      <c r="K634" s="954" cm="1">
        <f t="array" ref="K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Data'!$A:$A),_xlfn.XMATCH($B$2,'Talnagögn | Numerical Data'!$1:$1))-1</f>
        <v>0.10420978896176925</v>
      </c>
      <c r="L634" s="953" cm="1">
        <f t="array" ref="L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Data'!$A:$A),_xlfn.XMATCH($B$1,'Talnagögn | Numerical Data'!$1:$1))</f>
        <v>1.788466680958674</v>
      </c>
      <c r="M634" s="955" cm="1">
        <f t="array" ref="M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Data'!$A:$A),_xlfn.XMATCH($B$1,'Talnagögn | Numerical Data'!$1:$1))-1</f>
        <v>9.2451008524678358E-2</v>
      </c>
      <c r="N634" s="397"/>
      <c r="O634" s="949" t="str">
        <f>'Talnagögn | Numerical Data'!$D$203</f>
        <v>Meðhöndlun skólps</v>
      </c>
      <c r="P634" s="953" cm="1">
        <f t="array" ref="P634">INDEX('Talnagögn | Numerical Data'!$1:$1048576,_xlfn.XMATCH($B634,'Talnagögn | Numerical Data'!$B:$B),_xlfn.XMATCH($B$4,'Talnagögn | Numerical Data'!$1:$1))-INDEX('Talnagögn | Numerical Data'!$1:$1048576,_xlfn.XMATCH($A634,'Talnagögn | Numerical Data'!$A:$A),_xlfn.XMATCH($B$2,'Talnagögn | Numerical Data'!$1:$1))</f>
        <v>3.3716487320524848</v>
      </c>
      <c r="Q634" s="954" cm="1">
        <f t="array" ref="Q634">INDEX('Talnagögn | Numerical Data'!$1:$1048576,_xlfn.XMATCH($B634,'Talnagögn | Numerical Data'!$B:$B),_xlfn.XMATCH($B$4,'Talnagögn | Numerical Data'!$1:$1))/INDEX('Talnagögn | Numerical Data'!$1:$1048576,_xlfn.XMATCH($A634,'Talnagögn | Numerical Data'!$A:$A),_xlfn.XMATCH($B$2,'Talnagögn | Numerical Data'!$1:$1))-1</f>
        <v>0.17616626417713421</v>
      </c>
      <c r="R634" s="961" cm="1">
        <f t="array" ref="R634">INDEX('Talnagögn | Numerical Data'!$1:$1048576,_xlfn.XMATCH($B634,'Talnagögn | Numerical Data'!$B:$B),_xlfn.XMATCH($B$5,'Talnagögn | Numerical Data'!$1:$1))-INDEX('Talnagögn | Numerical Data'!$1:$1048576,_xlfn.XMATCH($A634,'Talnagögn | Numerical Data'!$A:$A),_xlfn.XMATCH($B$1,'Talnagögn | Numerical Data'!$1:$1))</f>
        <v>7.6943937525525463</v>
      </c>
      <c r="S634" s="955" cm="1">
        <f t="array" ref="S634">INDEX('Talnagögn | Numerical Data'!$1:$1048576,_xlfn.XMATCH($B634,'Talnagögn | Numerical Data'!$B:$B),_xlfn.XMATCH($B$5,'Talnagögn | Numerical Data'!$1:$1))/INDEX('Talnagögn | Numerical Data'!$1:$1048576,_xlfn.XMATCH($A634,'Talnagögn | Numerical Data'!$A:$A),_xlfn.XMATCH($B$1,'Talnagögn | Numerical Data'!$1:$1))-1</f>
        <v>0.39774543746499025</v>
      </c>
      <c r="AD634" s="776"/>
      <c r="AG634" s="949" t="str">
        <f>'Talnagögn | Numerical Data'!$E$203</f>
        <v>Wastewater Treatment and Discharge</v>
      </c>
      <c r="AH634" s="950" cm="1">
        <f t="array" ref="AH634">INDEX('Talnagögn | Numerical Data'!$1:$1048576,_xlfn.XMATCH($A634,'Talnagögn | Numerical Data'!$A:$A),_xlfn.XMATCH($A$1,'Talnagögn | Numerical Data'!$1:$1))</f>
        <v>21.133487460058902</v>
      </c>
      <c r="AI634" s="951">
        <f>$F$634/$F$635</f>
        <v>8.8684400689491488E-2</v>
      </c>
      <c r="AJ634" s="952" cm="1">
        <f t="array" ref="AJ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Data'!$A:$A),_xlfn.XMATCH($B$3,'Talnagögn | Numerical Data'!$1:$1))</f>
        <v>-0.94273560451910754</v>
      </c>
      <c r="AK634" s="951" cm="1">
        <f t="array" ref="AK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Data'!$A:$A),_xlfn.XMATCH($B$3,'Talnagögn | Numerical Data'!$1:$1))-1</f>
        <v>-4.270366365484668E-2</v>
      </c>
      <c r="AL634" s="953" cm="1">
        <f t="array" ref="AL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Data'!$A:$A),_xlfn.XMATCH($B$2,'Talnagögn | Numerical Data'!$1:$1))</f>
        <v>1.9944726901123175</v>
      </c>
      <c r="AM634" s="954" cm="1">
        <f t="array" ref="AM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Data'!$A:$A),_xlfn.XMATCH($B$2,'Talnagögn | Numerical Data'!$1:$1))-1</f>
        <v>0.10420978896176925</v>
      </c>
      <c r="AN634" s="953" cm="1">
        <f t="array" ref="AN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Data'!$A:$A),_xlfn.XMATCH($B$1,'Talnagögn | Numerical Data'!$1:$1))</f>
        <v>1.788466680958674</v>
      </c>
      <c r="AO634" s="955" cm="1">
        <f t="array" ref="AO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Data'!$A:$A),_xlfn.XMATCH($B$1,'Talnagögn | Numerical Data'!$1:$1))-1</f>
        <v>9.2451008524678358E-2</v>
      </c>
      <c r="AP634" s="397"/>
      <c r="AQ634" s="949" t="str">
        <f>'Talnagögn | Numerical Data'!$E$203</f>
        <v>Wastewater Treatment and Discharge</v>
      </c>
      <c r="AR634" s="953" cm="1">
        <f t="array" ref="AR634">INDEX('Talnagögn | Numerical Data'!$1:$1048576,_xlfn.XMATCH($B634,'Talnagögn | Numerical Data'!$B:$B),_xlfn.XMATCH($B$4,'Talnagögn | Numerical Data'!$1:$1))-INDEX('Talnagögn | Numerical Data'!$1:$1048576,_xlfn.XMATCH($A634,'Talnagögn | Numerical Data'!$A:$A),_xlfn.XMATCH($B$2,'Talnagögn | Numerical Data'!$1:$1))</f>
        <v>3.3716487320524848</v>
      </c>
      <c r="AS634" s="954" cm="1">
        <f t="array" ref="AS634">INDEX('Talnagögn | Numerical Data'!$1:$1048576,_xlfn.XMATCH($B634,'Talnagögn | Numerical Data'!$B:$B),_xlfn.XMATCH($B$4,'Talnagögn | Numerical Data'!$1:$1))/INDEX('Talnagögn | Numerical Data'!$1:$1048576,_xlfn.XMATCH($A634,'Talnagögn | Numerical Data'!$A:$A),_xlfn.XMATCH($B$2,'Talnagögn | Numerical Data'!$1:$1))-1</f>
        <v>0.17616626417713421</v>
      </c>
      <c r="AT634" s="961" cm="1">
        <f t="array" ref="AT634">INDEX('Talnagögn | Numerical Data'!$1:$1048576,_xlfn.XMATCH($B634,'Talnagögn | Numerical Data'!$B:$B),_xlfn.XMATCH($B$5,'Talnagögn | Numerical Data'!$1:$1))-INDEX('Talnagögn | Numerical Data'!$1:$1048576,_xlfn.XMATCH($A634,'Talnagögn | Numerical Data'!$A:$A),_xlfn.XMATCH($B$1,'Talnagögn | Numerical Data'!$1:$1))</f>
        <v>7.6943937525525463</v>
      </c>
      <c r="AU634" s="954" cm="1">
        <f t="array" ref="AU634">INDEX('Talnagögn | Numerical Data'!$1:$1048576,_xlfn.XMATCH($B634,'Talnagögn | Numerical Data'!$B:$B),_xlfn.XMATCH($B$5,'Talnagögn | Numerical Data'!$1:$1))/INDEX('Talnagögn | Numerical Data'!$1:$1048576,_xlfn.XMATCH($A634,'Talnagögn | Numerical Data'!$A:$A),_xlfn.XMATCH($B$1,'Talnagögn | Numerical Data'!$1:$1))-1</f>
        <v>0.39774543746499025</v>
      </c>
      <c r="AV634" s="961" t="e" cm="1">
        <f t="array" ref="AV634">INDEX('Talnagögn | Numerical Data'!$1:$1048576,_xlfn.XMATCH($C634,'Talnagögn | Numerical Data'!$B:$B),_xlfn.XMATCH($B$4,'Talnagögn | Numerical Data'!$1:$1))-INDEX('Talnagögn | Numerical Data'!$1:$1048576,_xlfn.XMATCH($A634,'Talnagögn | Numerical Data'!$A:$A),_xlfn.XMATCH($B$2,'Talnagögn | Numerical Data'!$1:$1))</f>
        <v>#N/A</v>
      </c>
      <c r="AW634" s="955" t="e" cm="1">
        <f t="array" ref="AW634">INDEX('Talnagögn | Numerical Data'!$1:$1048576,_xlfn.XMATCH($C634,'Talnagögn | Numerical Data'!$B:$B),_xlfn.XMATCH($B$4,'Talnagögn | Numerical Data'!$1:$1))/INDEX('Talnagögn | Numerical Data'!$1:$1048576,_xlfn.XMATCH($A634,'Talnagögn | Numerical Data'!$A:$A),_xlfn.XMATCH($B$2,'Talnagögn | Numerical Data'!$1:$1))-1</f>
        <v>#N/A</v>
      </c>
    </row>
    <row r="635" spans="1:55" ht="28.5" customHeight="1" x14ac:dyDescent="0.4">
      <c r="A635" s="50" t="s">
        <v>46</v>
      </c>
      <c r="B635" s="50" t="s">
        <v>270</v>
      </c>
      <c r="C635" s="50" t="s">
        <v>277</v>
      </c>
      <c r="D635" s="245" t="s">
        <v>48</v>
      </c>
      <c r="E635" s="956" t="s">
        <v>12</v>
      </c>
      <c r="F635" s="957" cm="1">
        <f t="array" ref="F635">INDEX('Talnagögn | Numerical Data'!$1:$1048576,_xlfn.XMATCH($A635,'Talnagögn | Numerical Data'!$A:$A),_xlfn.XMATCH($A$1,'Talnagögn | Numerical Data'!$1:$1))</f>
        <v>238.29994109170406</v>
      </c>
      <c r="G635" s="958">
        <f>SUM($G$631:$G$634)</f>
        <v>1</v>
      </c>
      <c r="H635" s="1064" cm="1">
        <f t="array" ref="H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Data'!$A:$A),_xlfn.XMATCH($B$3,'Talnagögn | Numerical Data'!$1:$1))</f>
        <v>-9.2089246649518657</v>
      </c>
      <c r="I635" s="959" cm="1">
        <f t="array" ref="I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Data'!$A:$A),_xlfn.XMATCH($B$3,'Talnagögn | Numerical Data'!$1:$1))-1</f>
        <v>-3.7206443643137299E-2</v>
      </c>
      <c r="J635" s="957" cm="1">
        <f t="array" ref="J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Data'!$A:$A),_xlfn.XMATCH($B$2,'Talnagögn | Numerical Data'!$1:$1))</f>
        <v>-71.155145258225446</v>
      </c>
      <c r="K635" s="958" cm="1">
        <f t="array" ref="K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Data'!$A:$A),_xlfn.XMATCH($B$2,'Talnagögn | Numerical Data'!$1:$1))-1</f>
        <v>-0.22993690650721355</v>
      </c>
      <c r="L635" s="957" cm="1">
        <f t="array" ref="L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Data'!$A:$A),_xlfn.XMATCH($B$1,'Talnagögn | Numerical Data'!$1:$1))</f>
        <v>30.818805742526479</v>
      </c>
      <c r="M635" s="960" cm="1">
        <f t="array" ref="M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Data'!$A:$A),_xlfn.XMATCH($B$1,'Talnagögn | Numerical Data'!$1:$1))-1</f>
        <v>0.14853786919307321</v>
      </c>
      <c r="O635" s="956" t="s">
        <v>12</v>
      </c>
      <c r="P635" s="957" cm="1">
        <f t="array" ref="P635">INDEX('Talnagögn | Numerical Data'!$1:$1048576,_xlfn.XMATCH($B635,'Talnagögn | Numerical Data'!$B:$B),_xlfn.XMATCH($B$4,'Talnagögn | Numerical Data'!$1:$1))-INDEX('Talnagögn | Numerical Data'!$1:$1048576,_xlfn.XMATCH($A635,'Talnagögn | Numerical Data'!$A:$A),_xlfn.XMATCH($B$2,'Talnagögn | Numerical Data'!$1:$1))</f>
        <v>-152.43221888630947</v>
      </c>
      <c r="Q635" s="958" cm="1">
        <f t="array" ref="Q635">INDEX('Talnagögn | Numerical Data'!$1:$1048576,_xlfn.XMATCH($B635,'Talnagögn | Numerical Data'!$B:$B),_xlfn.XMATCH($B$4,'Talnagögn | Numerical Data'!$1:$1))/INDEX('Talnagögn | Numerical Data'!$1:$1048576,_xlfn.XMATCH($A635,'Talnagögn | Numerical Data'!$A:$A),_xlfn.XMATCH($B$2,'Talnagögn | Numerical Data'!$1:$1))-1</f>
        <v>-0.49258269005777544</v>
      </c>
      <c r="R635" s="957" cm="1">
        <f t="array" ref="R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Data'!$A:$A),_xlfn.XMATCH($B$1,'Talnagögn | Numerical Data'!$1:$1))</f>
        <v>-136.88652171680832</v>
      </c>
      <c r="S635" s="960" cm="1">
        <f t="array" ref="S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Data'!$A:$A),_xlfn.XMATCH($B$1,'Talnagögn | Numerical Data'!$1:$1))-1</f>
        <v>-0.65975406143038984</v>
      </c>
      <c r="T635" s="8"/>
      <c r="U635" s="8"/>
      <c r="V635" s="8"/>
      <c r="W635" s="8"/>
      <c r="X635" s="8"/>
      <c r="Y635" s="8"/>
      <c r="Z635" s="8"/>
      <c r="AA635" s="8"/>
      <c r="AB635" s="8"/>
      <c r="AC635" s="8"/>
      <c r="AG635" s="956" t="s">
        <v>12</v>
      </c>
      <c r="AH635" s="957" cm="1">
        <f t="array" ref="AH635">INDEX('Talnagögn | Numerical Data'!$1:$1048576,_xlfn.XMATCH($A635,'Talnagögn | Numerical Data'!$A:$A),_xlfn.XMATCH($A$1,'Talnagögn | Numerical Data'!$1:$1))</f>
        <v>238.29994109170406</v>
      </c>
      <c r="AI635" s="958">
        <f>SUM($G$631:$G$634)</f>
        <v>1</v>
      </c>
      <c r="AJ635" s="1064" cm="1">
        <f t="array" ref="AJ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Data'!$A:$A),_xlfn.XMATCH($B$3,'Talnagögn | Numerical Data'!$1:$1))</f>
        <v>-9.2089246649518657</v>
      </c>
      <c r="AK635" s="959" cm="1">
        <f t="array" ref="AK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Data'!$A:$A),_xlfn.XMATCH($B$3,'Talnagögn | Numerical Data'!$1:$1))-1</f>
        <v>-3.7206443643137299E-2</v>
      </c>
      <c r="AL635" s="957" cm="1">
        <f t="array" ref="AL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Data'!$A:$A),_xlfn.XMATCH($B$2,'Talnagögn | Numerical Data'!$1:$1))</f>
        <v>-71.155145258225446</v>
      </c>
      <c r="AM635" s="958" cm="1">
        <f t="array" ref="AM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Data'!$A:$A),_xlfn.XMATCH($B$2,'Talnagögn | Numerical Data'!$1:$1))-1</f>
        <v>-0.22993690650721355</v>
      </c>
      <c r="AN635" s="957" cm="1">
        <f t="array" ref="AN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Data'!$A:$A),_xlfn.XMATCH($B$1,'Talnagögn | Numerical Data'!$1:$1))</f>
        <v>30.818805742526479</v>
      </c>
      <c r="AO635" s="960" cm="1">
        <f t="array" ref="AO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Data'!$A:$A),_xlfn.XMATCH($B$1,'Talnagögn | Numerical Data'!$1:$1))-1</f>
        <v>0.14853786919307321</v>
      </c>
      <c r="AQ635" s="956" t="s">
        <v>12</v>
      </c>
      <c r="AR635" s="957" cm="1">
        <f t="array" ref="AR635">INDEX('Talnagögn | Numerical Data'!$1:$1048576,_xlfn.XMATCH($B635,'Talnagögn | Numerical Data'!$B:$B),_xlfn.XMATCH($B$4,'Talnagögn | Numerical Data'!$1:$1))-INDEX('Talnagögn | Numerical Data'!$1:$1048576,_xlfn.XMATCH($A635,'Talnagögn | Numerical Data'!$A:$A),_xlfn.XMATCH($B$2,'Talnagögn | Numerical Data'!$1:$1))</f>
        <v>-152.43221888630947</v>
      </c>
      <c r="AS635" s="958" cm="1">
        <f t="array" ref="AS635">INDEX('Talnagögn | Numerical Data'!$1:$1048576,_xlfn.XMATCH($B635,'Talnagögn | Numerical Data'!$B:$B),_xlfn.XMATCH($B$4,'Talnagögn | Numerical Data'!$1:$1))/INDEX('Talnagögn | Numerical Data'!$1:$1048576,_xlfn.XMATCH($A635,'Talnagögn | Numerical Data'!$A:$A),_xlfn.XMATCH($B$2,'Talnagögn | Numerical Data'!$1:$1))-1</f>
        <v>-0.49258269005777544</v>
      </c>
      <c r="AT635" s="957" cm="1">
        <f t="array" ref="AT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Data'!$A:$A),_xlfn.XMATCH($B$1,'Talnagögn | Numerical Data'!$1:$1))</f>
        <v>-136.88652171680832</v>
      </c>
      <c r="AU635" s="958" cm="1">
        <f t="array" ref="AU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Data'!$A:$A),_xlfn.XMATCH($B$1,'Talnagögn | Numerical Data'!$1:$1))-1</f>
        <v>-0.65975406143038984</v>
      </c>
      <c r="AV635" s="957" t="e" cm="1">
        <f t="array" ref="AV635">INDEX('Talnagögn | Numerical Data'!$1:$1048576,_xlfn.XMATCH($C635,'Talnagögn | Numerical Data'!$B:$B),_xlfn.XMATCH($B$4,'Talnagögn | Numerical Data'!$1:$1))-INDEX('Talnagögn | Numerical Data'!$1:$1048576,_xlfn.XMATCH($A635,'Talnagögn | Numerical Data'!$A:$A),_xlfn.XMATCH($B$2,'Talnagögn | Numerical Data'!$1:$1))</f>
        <v>#N/A</v>
      </c>
      <c r="AW635" s="960" t="e" cm="1">
        <f t="array" ref="AW635">INDEX('Talnagögn | Numerical Data'!$1:$1048576,_xlfn.XMATCH($C635,'Talnagögn | Numerical Data'!$B:$B),_xlfn.XMATCH($B$4,'Talnagögn | Numerical Data'!$1:$1))/INDEX('Talnagögn | Numerical Data'!$1:$1048576,_xlfn.XMATCH($A635,'Talnagögn | Numerical Data'!$A:$A),_xlfn.XMATCH($B$2,'Talnagögn | Numerical Data'!$1:$1))-1</f>
        <v>#N/A</v>
      </c>
      <c r="AX635" s="8"/>
      <c r="AY635" s="8"/>
      <c r="AZ635" s="8"/>
      <c r="BA635" s="8"/>
      <c r="BB635" s="8"/>
      <c r="BC635" s="8"/>
    </row>
    <row r="636" spans="1:55" s="40" customFormat="1" x14ac:dyDescent="0.4">
      <c r="A636" s="1035" t="str">
        <f>"ÚRGANGUR "&amp;$A$1</f>
        <v>ÚRGANGUR 2024</v>
      </c>
      <c r="B636" s="1035" t="str">
        <f>"WASTE "&amp;$A$1</f>
        <v>WASTE 2024</v>
      </c>
      <c r="C636" s="1038"/>
      <c r="D636" s="245" t="s">
        <v>48</v>
      </c>
      <c r="F636" s="397"/>
      <c r="G636" s="397"/>
      <c r="H636" s="240"/>
      <c r="I636" s="397"/>
      <c r="J636" s="397"/>
      <c r="K636" s="397"/>
      <c r="L636" s="397"/>
      <c r="M636" s="397"/>
      <c r="O636" s="397"/>
      <c r="P636" s="397"/>
      <c r="Q636" s="397"/>
      <c r="R636" s="397"/>
      <c r="S636" s="397"/>
      <c r="T636" s="397"/>
      <c r="U636" s="397"/>
      <c r="V636" s="397"/>
      <c r="W636" s="397"/>
      <c r="X636" s="397"/>
      <c r="Y636" s="397"/>
      <c r="Z636" s="397"/>
      <c r="AA636" s="397"/>
      <c r="AB636" s="397"/>
      <c r="AC636" s="397"/>
      <c r="AD636" s="762"/>
      <c r="AH636" s="397"/>
      <c r="AI636" s="397"/>
      <c r="AJ636" s="397"/>
      <c r="AK636" s="397"/>
      <c r="AL636" s="397"/>
      <c r="AM636" s="397"/>
      <c r="AN636" s="397"/>
      <c r="AO636" s="397"/>
      <c r="AP636" s="397"/>
      <c r="AQ636" s="397"/>
      <c r="AR636" s="397"/>
      <c r="AS636" s="397"/>
      <c r="AT636" s="397"/>
      <c r="AU636" s="397"/>
      <c r="AV636" s="397"/>
      <c r="AW636" s="397"/>
      <c r="AX636" s="397"/>
      <c r="AY636" s="397"/>
      <c r="AZ636" s="397"/>
      <c r="BA636" s="397"/>
      <c r="BB636" s="397"/>
      <c r="BC636" s="397"/>
    </row>
    <row r="637" spans="1:55" s="40" customFormat="1" x14ac:dyDescent="0.4">
      <c r="A637" s="50"/>
      <c r="B637" s="1038" t="s">
        <v>48</v>
      </c>
      <c r="C637" s="1038"/>
      <c r="D637" s="245" t="s">
        <v>48</v>
      </c>
      <c r="F637" s="397"/>
      <c r="G637" s="397"/>
      <c r="H637" s="240"/>
      <c r="I637" s="397"/>
      <c r="J637" s="397"/>
      <c r="K637" s="397"/>
      <c r="L637" s="397"/>
      <c r="M637" s="397"/>
      <c r="N637" s="397"/>
      <c r="O637" s="397"/>
      <c r="P637" s="397"/>
      <c r="Q637" s="397"/>
      <c r="R637" s="397"/>
      <c r="S637" s="397"/>
      <c r="T637" s="397"/>
      <c r="U637" s="397"/>
      <c r="V637" s="397"/>
      <c r="W637" s="397"/>
      <c r="X637" s="397"/>
      <c r="Y637" s="397"/>
      <c r="Z637" s="397"/>
      <c r="AA637" s="397"/>
      <c r="AB637" s="397"/>
      <c r="AC637" s="397"/>
      <c r="AD637" s="762"/>
      <c r="AH637" s="397"/>
      <c r="AI637" s="397"/>
      <c r="AJ637" s="397"/>
      <c r="AK637" s="397"/>
      <c r="AL637" s="397"/>
      <c r="AM637" s="397"/>
      <c r="AN637" s="397"/>
      <c r="AO637" s="397"/>
      <c r="AP637" s="397"/>
      <c r="AQ637" s="397"/>
      <c r="AR637" s="397"/>
      <c r="AS637" s="397"/>
      <c r="AT637" s="397"/>
      <c r="AU637" s="397"/>
      <c r="AV637" s="397"/>
      <c r="AW637" s="397"/>
      <c r="AX637" s="397"/>
      <c r="AY637" s="397"/>
      <c r="AZ637" s="397"/>
      <c r="BA637" s="397"/>
      <c r="BB637" s="397"/>
      <c r="BC637" s="397"/>
    </row>
    <row r="638" spans="1:55" s="40" customFormat="1" x14ac:dyDescent="0.4">
      <c r="A638" s="50"/>
      <c r="B638" s="129"/>
      <c r="C638" s="1038"/>
      <c r="D638" s="245" t="s">
        <v>48</v>
      </c>
      <c r="F638" s="397"/>
      <c r="G638" s="397"/>
      <c r="H638" s="240"/>
      <c r="I638" s="397"/>
      <c r="J638" s="397"/>
      <c r="K638" s="397"/>
      <c r="L638" s="397"/>
      <c r="M638" s="397"/>
      <c r="N638" s="397"/>
      <c r="O638" s="397"/>
      <c r="P638" s="397"/>
      <c r="Q638" s="397"/>
      <c r="R638" s="397"/>
      <c r="S638" s="397"/>
      <c r="T638" s="397"/>
      <c r="U638" s="397"/>
      <c r="V638" s="397"/>
      <c r="W638" s="397"/>
      <c r="X638" s="397"/>
      <c r="Y638" s="397"/>
      <c r="Z638" s="397"/>
      <c r="AA638" s="397"/>
      <c r="AB638" s="397"/>
      <c r="AC638" s="397"/>
      <c r="AD638" s="762"/>
      <c r="AH638" s="397"/>
      <c r="AI638" s="397"/>
      <c r="AJ638" s="397"/>
      <c r="AK638" s="397"/>
      <c r="AL638" s="397"/>
      <c r="AM638" s="397"/>
      <c r="AN638" s="397"/>
      <c r="AO638" s="397"/>
      <c r="AP638" s="397"/>
      <c r="AQ638" s="397"/>
      <c r="AR638" s="397"/>
      <c r="AS638" s="397"/>
      <c r="AT638" s="397"/>
      <c r="AU638" s="397"/>
      <c r="AV638" s="397"/>
      <c r="AW638" s="397"/>
      <c r="AX638" s="397"/>
      <c r="AY638" s="397"/>
      <c r="AZ638" s="397"/>
      <c r="BA638" s="397"/>
      <c r="BB638" s="397"/>
      <c r="BC638" s="397"/>
    </row>
    <row r="639" spans="1:55" s="40" customFormat="1" x14ac:dyDescent="0.4">
      <c r="A639" s="50"/>
      <c r="B639" s="129"/>
      <c r="C639" s="1038"/>
      <c r="D639" s="245" t="s">
        <v>48</v>
      </c>
      <c r="F639" s="397"/>
      <c r="G639" s="397"/>
      <c r="H639" s="240"/>
      <c r="I639" s="397"/>
      <c r="J639" s="397"/>
      <c r="K639" s="397"/>
      <c r="L639" s="397"/>
      <c r="M639" s="397"/>
      <c r="N639" s="397"/>
      <c r="O639" s="397"/>
      <c r="P639" s="397"/>
      <c r="Q639" s="397"/>
      <c r="R639" s="397"/>
      <c r="S639" s="397"/>
      <c r="T639" s="397"/>
      <c r="U639" s="397"/>
      <c r="V639" s="397"/>
      <c r="W639" s="397"/>
      <c r="X639" s="397"/>
      <c r="Y639" s="397"/>
      <c r="Z639" s="397"/>
      <c r="AA639" s="397"/>
      <c r="AB639" s="397"/>
      <c r="AC639" s="397"/>
      <c r="AD639" s="762"/>
      <c r="AH639" s="397"/>
      <c r="AI639" s="397"/>
      <c r="AJ639" s="397"/>
      <c r="AK639" s="397"/>
      <c r="AL639" s="397"/>
      <c r="AM639" s="397"/>
      <c r="AN639" s="397"/>
      <c r="AO639" s="397"/>
      <c r="AP639" s="397"/>
      <c r="AQ639" s="397"/>
      <c r="AR639" s="397"/>
      <c r="AS639" s="397"/>
      <c r="AT639" s="397"/>
      <c r="AU639" s="397"/>
      <c r="AV639" s="397"/>
      <c r="AW639" s="397"/>
      <c r="AX639" s="397"/>
      <c r="AY639" s="397"/>
      <c r="AZ639" s="397"/>
      <c r="BA639" s="397"/>
      <c r="BB639" s="397"/>
      <c r="BC639" s="397"/>
    </row>
    <row r="640" spans="1:55" s="40" customFormat="1" x14ac:dyDescent="0.4">
      <c r="A640" s="50"/>
      <c r="B640" s="129"/>
      <c r="C640" s="1038"/>
      <c r="D640" s="245" t="s">
        <v>48</v>
      </c>
      <c r="F640" s="397"/>
      <c r="G640" s="397"/>
      <c r="H640" s="240"/>
      <c r="I640" s="397"/>
      <c r="J640" s="397"/>
      <c r="K640" s="397"/>
      <c r="L640" s="397"/>
      <c r="M640" s="397"/>
      <c r="N640" s="397"/>
      <c r="O640" s="397"/>
      <c r="P640" s="397"/>
      <c r="Q640" s="397"/>
      <c r="R640" s="397"/>
      <c r="S640" s="397"/>
      <c r="T640" s="397"/>
      <c r="U640" s="397"/>
      <c r="V640" s="397"/>
      <c r="W640" s="397"/>
      <c r="X640" s="397"/>
      <c r="Y640" s="397"/>
      <c r="Z640" s="397"/>
      <c r="AA640" s="397"/>
      <c r="AB640" s="397"/>
      <c r="AC640" s="397"/>
      <c r="AD640" s="762"/>
      <c r="AH640" s="397"/>
      <c r="AI640" s="397"/>
      <c r="AJ640" s="397"/>
      <c r="AK640" s="397"/>
      <c r="AL640" s="397"/>
      <c r="AM640" s="397"/>
      <c r="AN640" s="397"/>
      <c r="AO640" s="397"/>
      <c r="AP640" s="397"/>
      <c r="AQ640" s="397"/>
      <c r="AR640" s="397"/>
      <c r="AS640" s="397"/>
      <c r="AT640" s="397"/>
      <c r="AU640" s="397"/>
      <c r="AV640" s="397"/>
      <c r="AW640" s="397"/>
      <c r="AX640" s="397"/>
      <c r="AY640" s="397"/>
      <c r="AZ640" s="397"/>
      <c r="BA640" s="397"/>
      <c r="BB640" s="397"/>
      <c r="BC640" s="397"/>
    </row>
    <row r="641" spans="1:55" s="40" customFormat="1" x14ac:dyDescent="0.4">
      <c r="A641" s="50"/>
      <c r="B641" s="129"/>
      <c r="C641" s="1038"/>
      <c r="D641" s="245" t="s">
        <v>48</v>
      </c>
      <c r="F641" s="397"/>
      <c r="G641" s="397"/>
      <c r="H641" s="240"/>
      <c r="I641" s="397"/>
      <c r="J641" s="397"/>
      <c r="K641" s="397"/>
      <c r="L641" s="397"/>
      <c r="M641" s="397"/>
      <c r="N641" s="397"/>
      <c r="O641" s="397"/>
      <c r="P641" s="397"/>
      <c r="Q641" s="397"/>
      <c r="R641" s="397"/>
      <c r="S641" s="397"/>
      <c r="T641" s="397"/>
      <c r="U641" s="397"/>
      <c r="V641" s="397"/>
      <c r="W641" s="397"/>
      <c r="X641" s="397"/>
      <c r="Y641" s="397"/>
      <c r="Z641" s="397"/>
      <c r="AA641" s="397"/>
      <c r="AB641" s="397"/>
      <c r="AC641" s="397"/>
      <c r="AD641" s="762"/>
      <c r="AH641" s="397"/>
      <c r="AI641" s="397"/>
      <c r="AJ641" s="397"/>
      <c r="AK641" s="397"/>
      <c r="AL641" s="397"/>
      <c r="AM641" s="397"/>
      <c r="AN641" s="397"/>
      <c r="AO641" s="397"/>
      <c r="AP641" s="397"/>
      <c r="AQ641" s="397"/>
      <c r="AR641" s="397"/>
      <c r="AS641" s="397"/>
      <c r="AT641" s="397"/>
      <c r="AU641" s="397"/>
      <c r="AV641" s="397"/>
      <c r="AW641" s="397"/>
      <c r="AX641" s="397"/>
      <c r="AY641" s="397"/>
      <c r="AZ641" s="397"/>
      <c r="BA641" s="397"/>
      <c r="BB641" s="397"/>
      <c r="BC641" s="397"/>
    </row>
    <row r="642" spans="1:55" s="40" customFormat="1" x14ac:dyDescent="0.4">
      <c r="A642" s="50"/>
      <c r="B642" s="129"/>
      <c r="C642" s="1038"/>
      <c r="D642" s="245" t="s">
        <v>48</v>
      </c>
      <c r="F642" s="397"/>
      <c r="G642" s="397"/>
      <c r="H642" s="240"/>
      <c r="I642" s="397"/>
      <c r="J642" s="397"/>
      <c r="K642" s="397"/>
      <c r="L642" s="397"/>
      <c r="M642" s="397"/>
      <c r="N642" s="397"/>
      <c r="O642" s="397"/>
      <c r="P642" s="397"/>
      <c r="Q642" s="397"/>
      <c r="R642" s="397"/>
      <c r="S642" s="397"/>
      <c r="T642" s="397"/>
      <c r="U642" s="397"/>
      <c r="V642" s="397"/>
      <c r="W642" s="397"/>
      <c r="X642" s="397"/>
      <c r="Y642" s="397"/>
      <c r="Z642" s="397"/>
      <c r="AA642" s="397"/>
      <c r="AB642" s="397"/>
      <c r="AC642" s="397"/>
      <c r="AD642" s="762"/>
      <c r="AH642" s="397"/>
      <c r="AI642" s="397"/>
      <c r="AJ642" s="397"/>
      <c r="AK642" s="397"/>
      <c r="AL642" s="397"/>
      <c r="AM642" s="397"/>
      <c r="AN642" s="397"/>
      <c r="AO642" s="397"/>
      <c r="AP642" s="397"/>
      <c r="AQ642" s="397"/>
      <c r="AR642" s="397"/>
      <c r="AS642" s="397"/>
      <c r="AT642" s="397"/>
      <c r="AU642" s="397"/>
      <c r="AV642" s="397"/>
      <c r="AW642" s="397"/>
      <c r="AX642" s="397"/>
      <c r="AY642" s="397"/>
      <c r="AZ642" s="397"/>
      <c r="BA642" s="397"/>
      <c r="BB642" s="397"/>
      <c r="BC642" s="397"/>
    </row>
    <row r="643" spans="1:55" s="40" customFormat="1" x14ac:dyDescent="0.4">
      <c r="A643" s="50"/>
      <c r="B643" s="1038"/>
      <c r="C643" s="1038"/>
      <c r="D643" s="245" t="s">
        <v>48</v>
      </c>
      <c r="F643" s="397"/>
      <c r="G643" s="397"/>
      <c r="H643" s="240"/>
      <c r="I643" s="397"/>
      <c r="J643" s="397"/>
      <c r="K643" s="397"/>
      <c r="L643" s="397"/>
      <c r="M643" s="397"/>
      <c r="N643" s="397"/>
      <c r="O643" s="397"/>
      <c r="P643" s="397"/>
      <c r="Q643" s="397"/>
      <c r="R643" s="397"/>
      <c r="S643" s="397"/>
      <c r="T643" s="397"/>
      <c r="U643" s="397"/>
      <c r="V643" s="397"/>
      <c r="W643" s="397"/>
      <c r="X643" s="397"/>
      <c r="Y643" s="397"/>
      <c r="Z643" s="397"/>
      <c r="AA643" s="397"/>
      <c r="AB643" s="397"/>
      <c r="AC643" s="397"/>
      <c r="AD643" s="762"/>
      <c r="AH643" s="397"/>
      <c r="AI643" s="397"/>
      <c r="AJ643" s="397"/>
      <c r="AK643" s="397"/>
      <c r="AL643" s="397"/>
      <c r="AM643" s="397"/>
      <c r="AN643" s="397"/>
      <c r="AO643" s="397"/>
      <c r="AP643" s="397"/>
      <c r="AQ643" s="397"/>
      <c r="AR643" s="397"/>
      <c r="AS643" s="397"/>
      <c r="AT643" s="397"/>
      <c r="AU643" s="397"/>
      <c r="AV643" s="397"/>
      <c r="AW643" s="397"/>
      <c r="AX643" s="397"/>
      <c r="AY643" s="397"/>
      <c r="AZ643" s="397"/>
      <c r="BA643" s="397"/>
      <c r="BB643" s="397"/>
      <c r="BC643" s="397"/>
    </row>
    <row r="644" spans="1:55" s="40" customFormat="1" x14ac:dyDescent="0.4">
      <c r="A644" s="50"/>
      <c r="B644" s="1038"/>
      <c r="C644" s="1038"/>
      <c r="D644" s="245" t="s">
        <v>48</v>
      </c>
      <c r="F644" s="397"/>
      <c r="G644" s="397"/>
      <c r="H644" s="240"/>
      <c r="I644" s="397"/>
      <c r="J644" s="397"/>
      <c r="K644" s="397"/>
      <c r="L644" s="397"/>
      <c r="M644" s="397"/>
      <c r="N644" s="397"/>
      <c r="O644" s="397"/>
      <c r="P644" s="397"/>
      <c r="Q644" s="397"/>
      <c r="R644" s="397"/>
      <c r="S644" s="397"/>
      <c r="T644" s="397"/>
      <c r="U644" s="397"/>
      <c r="V644" s="397"/>
      <c r="W644" s="397"/>
      <c r="X644" s="397"/>
      <c r="Y644" s="397"/>
      <c r="Z644" s="397"/>
      <c r="AA644" s="397"/>
      <c r="AB644" s="397"/>
      <c r="AC644" s="397"/>
      <c r="AD644" s="762"/>
      <c r="AH644" s="397"/>
      <c r="AI644" s="397"/>
      <c r="AJ644" s="397"/>
      <c r="AK644" s="397"/>
      <c r="AL644" s="397"/>
      <c r="AM644" s="397"/>
      <c r="AN644" s="397"/>
      <c r="AO644" s="397"/>
      <c r="AP644" s="397"/>
      <c r="AQ644" s="397"/>
      <c r="AR644" s="397"/>
      <c r="AS644" s="397"/>
      <c r="AT644" s="397"/>
      <c r="AU644" s="397"/>
      <c r="AV644" s="397"/>
      <c r="AW644" s="397"/>
      <c r="AX644" s="397"/>
      <c r="AY644" s="397"/>
      <c r="AZ644" s="397"/>
      <c r="BA644" s="397"/>
      <c r="BB644" s="397"/>
      <c r="BC644" s="397"/>
    </row>
    <row r="645" spans="1:55" s="40" customFormat="1" ht="15" customHeight="1" x14ac:dyDescent="0.4">
      <c r="A645" s="50"/>
      <c r="B645" s="1038"/>
      <c r="C645" s="1038"/>
      <c r="D645" s="245" t="s">
        <v>48</v>
      </c>
      <c r="F645" s="397"/>
      <c r="G645" s="397"/>
      <c r="H645" s="240"/>
      <c r="I645" s="397"/>
      <c r="J645" s="397"/>
      <c r="K645" s="397"/>
      <c r="L645" s="397"/>
      <c r="M645" s="397"/>
      <c r="N645" s="397"/>
      <c r="O645" s="397"/>
      <c r="P645" s="397"/>
      <c r="Q645" s="397"/>
      <c r="R645" s="397"/>
      <c r="S645" s="397"/>
      <c r="T645" s="397"/>
      <c r="U645" s="397"/>
      <c r="V645" s="397"/>
      <c r="W645" s="397"/>
      <c r="X645" s="397"/>
      <c r="Y645" s="397"/>
      <c r="Z645" s="397"/>
      <c r="AA645" s="397"/>
      <c r="AB645" s="397"/>
      <c r="AC645" s="397"/>
      <c r="AD645" s="762"/>
      <c r="AH645" s="397"/>
      <c r="AI645" s="397"/>
      <c r="AJ645" s="397"/>
      <c r="AK645" s="397"/>
      <c r="AL645" s="397"/>
      <c r="AM645" s="397"/>
      <c r="AN645" s="397"/>
      <c r="AO645" s="397"/>
      <c r="AP645" s="397"/>
      <c r="AQ645" s="397"/>
      <c r="AR645" s="397"/>
      <c r="AS645" s="397"/>
      <c r="AT645" s="397"/>
      <c r="AU645" s="397"/>
      <c r="AV645" s="397"/>
      <c r="AW645" s="397"/>
      <c r="AX645" s="397"/>
      <c r="AY645" s="397"/>
      <c r="AZ645" s="397"/>
      <c r="BA645" s="397"/>
      <c r="BB645" s="397"/>
      <c r="BC645" s="397"/>
    </row>
    <row r="646" spans="1:55" s="40" customFormat="1" ht="15" customHeight="1" x14ac:dyDescent="0.4">
      <c r="A646" s="50"/>
      <c r="B646" s="1038"/>
      <c r="C646" s="1038"/>
      <c r="D646" s="245" t="s">
        <v>48</v>
      </c>
      <c r="F646" s="397"/>
      <c r="G646" s="397"/>
      <c r="H646" s="240"/>
      <c r="I646" s="397"/>
      <c r="J646" s="397"/>
      <c r="K646" s="397"/>
      <c r="L646" s="397"/>
      <c r="M646" s="397"/>
      <c r="N646" s="397"/>
      <c r="O646" s="397"/>
      <c r="P646" s="397"/>
      <c r="Q646" s="397"/>
      <c r="R646" s="397"/>
      <c r="S646" s="397"/>
      <c r="T646" s="397"/>
      <c r="U646" s="397"/>
      <c r="V646" s="397"/>
      <c r="W646" s="397"/>
      <c r="X646" s="397"/>
      <c r="Y646" s="397"/>
      <c r="Z646" s="397"/>
      <c r="AA646" s="397"/>
      <c r="AB646" s="397"/>
      <c r="AC646" s="397"/>
      <c r="AD646" s="762"/>
      <c r="AH646" s="397"/>
      <c r="AI646" s="397"/>
      <c r="AJ646" s="397"/>
      <c r="AK646" s="397"/>
      <c r="AL646" s="397"/>
      <c r="AM646" s="397"/>
      <c r="AN646" s="397"/>
      <c r="AO646" s="397"/>
      <c r="AP646" s="397"/>
      <c r="AQ646" s="397"/>
      <c r="AR646" s="397"/>
      <c r="AS646" s="397"/>
      <c r="AT646" s="397"/>
      <c r="AU646" s="397"/>
      <c r="AV646" s="397"/>
      <c r="AW646" s="397"/>
      <c r="AX646" s="397"/>
      <c r="AY646" s="397"/>
      <c r="AZ646" s="397"/>
      <c r="BA646" s="397"/>
      <c r="BB646" s="397"/>
      <c r="BC646" s="397"/>
    </row>
    <row r="647" spans="1:55" s="40" customFormat="1" ht="15" customHeight="1" x14ac:dyDescent="0.4">
      <c r="A647" s="50"/>
      <c r="B647" s="1038"/>
      <c r="C647" s="1038"/>
      <c r="D647" s="245" t="s">
        <v>48</v>
      </c>
      <c r="F647" s="397"/>
      <c r="G647" s="397"/>
      <c r="H647" s="240"/>
      <c r="I647" s="397"/>
      <c r="J647" s="397"/>
      <c r="K647" s="397"/>
      <c r="L647" s="397"/>
      <c r="M647" s="397"/>
      <c r="N647" s="397"/>
      <c r="O647" s="397"/>
      <c r="P647" s="397"/>
      <c r="Q647" s="397"/>
      <c r="R647" s="397"/>
      <c r="S647" s="397"/>
      <c r="T647" s="397"/>
      <c r="U647" s="397"/>
      <c r="V647" s="397"/>
      <c r="W647" s="397"/>
      <c r="X647" s="397"/>
      <c r="Y647" s="397"/>
      <c r="Z647" s="397"/>
      <c r="AA647" s="397"/>
      <c r="AB647" s="397"/>
      <c r="AC647" s="397"/>
      <c r="AD647" s="762"/>
      <c r="AH647" s="397"/>
      <c r="AI647" s="397"/>
      <c r="AJ647" s="397"/>
      <c r="AK647" s="397"/>
      <c r="AL647" s="397"/>
      <c r="AM647" s="397"/>
      <c r="AN647" s="397"/>
      <c r="AO647" s="397"/>
      <c r="AP647" s="397"/>
      <c r="AQ647" s="397"/>
      <c r="AR647" s="397"/>
      <c r="AS647" s="397"/>
      <c r="AT647" s="397"/>
      <c r="AU647" s="397"/>
      <c r="AV647" s="397"/>
      <c r="AW647" s="397"/>
      <c r="AX647" s="397"/>
      <c r="AY647" s="397"/>
      <c r="AZ647" s="397"/>
      <c r="BA647" s="397"/>
      <c r="BB647" s="397"/>
      <c r="BC647" s="397"/>
    </row>
    <row r="648" spans="1:55" s="40" customFormat="1" x14ac:dyDescent="0.4">
      <c r="A648" s="50"/>
      <c r="B648" s="1038"/>
      <c r="C648" s="1038"/>
      <c r="D648" s="245" t="s">
        <v>48</v>
      </c>
      <c r="F648" s="397"/>
      <c r="G648" s="397"/>
      <c r="H648" s="240"/>
      <c r="I648" s="397"/>
      <c r="J648" s="397"/>
      <c r="K648" s="397"/>
      <c r="L648" s="397"/>
      <c r="M648" s="397"/>
      <c r="N648" s="397"/>
      <c r="O648" s="397"/>
      <c r="P648" s="397"/>
      <c r="Q648" s="397"/>
      <c r="R648" s="397"/>
      <c r="S648" s="397"/>
      <c r="T648" s="397"/>
      <c r="U648" s="397"/>
      <c r="V648" s="397"/>
      <c r="W648" s="397"/>
      <c r="X648" s="397"/>
      <c r="Y648" s="397"/>
      <c r="Z648" s="397"/>
      <c r="AA648" s="397"/>
      <c r="AB648" s="397"/>
      <c r="AC648" s="397"/>
      <c r="AD648" s="762"/>
      <c r="AH648" s="397"/>
      <c r="AI648" s="397"/>
      <c r="AJ648" s="397"/>
      <c r="AK648" s="397"/>
      <c r="AL648" s="397"/>
      <c r="AM648" s="397"/>
      <c r="AN648" s="397"/>
      <c r="AO648" s="397"/>
      <c r="AP648" s="397"/>
      <c r="AQ648" s="397"/>
      <c r="AR648" s="397"/>
      <c r="AS648" s="397"/>
      <c r="AT648" s="397"/>
      <c r="AU648" s="397"/>
      <c r="AV648" s="397"/>
      <c r="AW648" s="397"/>
      <c r="AX648" s="397"/>
      <c r="AY648" s="397"/>
      <c r="AZ648" s="397"/>
      <c r="BA648" s="397"/>
      <c r="BB648" s="397"/>
      <c r="BC648" s="397"/>
    </row>
    <row r="649" spans="1:55" s="40" customFormat="1" x14ac:dyDescent="0.4">
      <c r="A649" s="50"/>
      <c r="B649" s="1038"/>
      <c r="C649" s="1038"/>
      <c r="D649" s="245" t="s">
        <v>48</v>
      </c>
      <c r="F649" s="397"/>
      <c r="G649" s="397"/>
      <c r="H649" s="240"/>
      <c r="I649" s="397"/>
      <c r="J649" s="397"/>
      <c r="K649" s="397"/>
      <c r="L649" s="397"/>
      <c r="M649" s="397"/>
      <c r="N649" s="397"/>
      <c r="O649" s="397"/>
      <c r="P649" s="397"/>
      <c r="Q649" s="397"/>
      <c r="R649" s="397"/>
      <c r="S649" s="397"/>
      <c r="T649" s="397"/>
      <c r="U649" s="397"/>
      <c r="V649" s="397"/>
      <c r="W649" s="397"/>
      <c r="X649" s="397"/>
      <c r="Y649" s="397"/>
      <c r="Z649" s="397"/>
      <c r="AA649" s="397"/>
      <c r="AB649" s="397"/>
      <c r="AC649" s="397"/>
      <c r="AD649" s="762"/>
      <c r="AH649" s="397"/>
      <c r="AI649" s="397"/>
      <c r="AJ649" s="397"/>
      <c r="AK649" s="397"/>
      <c r="AL649" s="397"/>
      <c r="AM649" s="397"/>
      <c r="AN649" s="397"/>
      <c r="AO649" s="397"/>
      <c r="AP649" s="397"/>
      <c r="AQ649" s="397"/>
      <c r="AR649" s="397"/>
      <c r="AS649" s="397"/>
      <c r="AT649" s="397"/>
      <c r="AU649" s="397"/>
      <c r="AV649" s="397"/>
      <c r="AW649" s="397"/>
      <c r="AX649" s="397"/>
      <c r="AY649" s="397"/>
      <c r="AZ649" s="397"/>
      <c r="BA649" s="397"/>
      <c r="BB649" s="397"/>
      <c r="BC649" s="397"/>
    </row>
    <row r="650" spans="1:55" s="40" customFormat="1" x14ac:dyDescent="0.4">
      <c r="A650" s="50"/>
      <c r="B650" s="1038"/>
      <c r="C650" s="1038"/>
      <c r="D650" s="245" t="s">
        <v>48</v>
      </c>
      <c r="F650" s="397"/>
      <c r="G650" s="397"/>
      <c r="H650" s="240"/>
      <c r="I650" s="397"/>
      <c r="J650" s="397"/>
      <c r="K650" s="397"/>
      <c r="L650" s="397"/>
      <c r="M650" s="397"/>
      <c r="N650" s="397"/>
      <c r="O650" s="397"/>
      <c r="P650" s="397"/>
      <c r="Q650" s="397"/>
      <c r="R650" s="397"/>
      <c r="S650" s="397"/>
      <c r="T650" s="397"/>
      <c r="U650" s="397"/>
      <c r="V650" s="397"/>
      <c r="W650" s="397"/>
      <c r="X650" s="397"/>
      <c r="Y650" s="397"/>
      <c r="Z650" s="397"/>
      <c r="AA650" s="397"/>
      <c r="AB650" s="397"/>
      <c r="AC650" s="397"/>
      <c r="AD650" s="762"/>
      <c r="AH650" s="397"/>
      <c r="AI650" s="397"/>
      <c r="AJ650" s="397"/>
      <c r="AK650" s="397"/>
      <c r="AL650" s="397"/>
      <c r="AM650" s="397"/>
      <c r="AN650" s="397"/>
      <c r="AO650" s="397"/>
      <c r="AP650" s="397"/>
      <c r="AQ650" s="397"/>
      <c r="AR650" s="397"/>
      <c r="AS650" s="397"/>
      <c r="AT650" s="397"/>
      <c r="AU650" s="397"/>
      <c r="AV650" s="397"/>
      <c r="AW650" s="397"/>
      <c r="AX650" s="397"/>
      <c r="AY650" s="397"/>
      <c r="AZ650" s="397"/>
      <c r="BA650" s="397"/>
      <c r="BB650" s="397"/>
      <c r="BC650" s="397"/>
    </row>
    <row r="651" spans="1:55" s="40" customFormat="1" x14ac:dyDescent="0.4">
      <c r="A651" s="50"/>
      <c r="B651" s="1038"/>
      <c r="C651" s="1038"/>
      <c r="D651" s="245" t="s">
        <v>48</v>
      </c>
      <c r="F651" s="397"/>
      <c r="G651" s="397"/>
      <c r="H651" s="240"/>
      <c r="I651" s="397"/>
      <c r="J651" s="397"/>
      <c r="K651" s="397"/>
      <c r="L651" s="397"/>
      <c r="M651" s="397"/>
      <c r="N651" s="397"/>
      <c r="O651" s="397"/>
      <c r="P651" s="397"/>
      <c r="Q651" s="397"/>
      <c r="R651" s="397"/>
      <c r="S651" s="397"/>
      <c r="T651" s="397"/>
      <c r="U651" s="397"/>
      <c r="V651" s="397"/>
      <c r="W651" s="397"/>
      <c r="X651" s="397"/>
      <c r="Y651" s="397"/>
      <c r="Z651" s="397"/>
      <c r="AA651" s="397"/>
      <c r="AB651" s="397"/>
      <c r="AC651" s="397"/>
      <c r="AD651" s="762"/>
      <c r="AH651" s="397"/>
      <c r="AI651" s="397"/>
      <c r="AJ651" s="397"/>
      <c r="AK651" s="397"/>
      <c r="AL651" s="397"/>
      <c r="AM651" s="397"/>
      <c r="AN651" s="397"/>
      <c r="AO651" s="397"/>
      <c r="AP651" s="397"/>
      <c r="AQ651" s="397"/>
      <c r="AR651" s="397"/>
      <c r="AS651" s="397"/>
      <c r="AT651" s="397"/>
      <c r="AU651" s="397"/>
      <c r="AV651" s="397"/>
      <c r="AW651" s="397"/>
      <c r="AX651" s="397"/>
      <c r="AY651" s="397"/>
      <c r="AZ651" s="397"/>
      <c r="BA651" s="397"/>
      <c r="BB651" s="397"/>
      <c r="BC651" s="397"/>
    </row>
    <row r="652" spans="1:55" s="40" customFormat="1" x14ac:dyDescent="0.4">
      <c r="A652" s="50"/>
      <c r="B652" s="1038"/>
      <c r="C652" s="1038"/>
      <c r="D652" s="245" t="s">
        <v>48</v>
      </c>
      <c r="F652" s="397"/>
      <c r="G652" s="397"/>
      <c r="H652" s="240"/>
      <c r="I652" s="397"/>
      <c r="J652" s="397"/>
      <c r="K652" s="397"/>
      <c r="L652" s="397"/>
      <c r="M652" s="397"/>
      <c r="N652" s="397"/>
      <c r="O652" s="397"/>
      <c r="P652" s="397"/>
      <c r="Q652" s="397"/>
      <c r="R652" s="397"/>
      <c r="S652" s="397"/>
      <c r="T652" s="397"/>
      <c r="U652" s="397"/>
      <c r="V652" s="397"/>
      <c r="W652" s="397"/>
      <c r="X652" s="397"/>
      <c r="Y652" s="397"/>
      <c r="Z652" s="397"/>
      <c r="AA652" s="397"/>
      <c r="AB652" s="397"/>
      <c r="AC652" s="397"/>
      <c r="AD652" s="762"/>
      <c r="AH652" s="397"/>
      <c r="AI652" s="397"/>
      <c r="AJ652" s="397"/>
      <c r="AK652" s="397"/>
      <c r="AL652" s="397"/>
      <c r="AM652" s="397"/>
      <c r="AN652" s="397"/>
      <c r="AO652" s="397"/>
      <c r="AP652" s="397"/>
      <c r="AQ652" s="397"/>
      <c r="AR652" s="397"/>
      <c r="AS652" s="397"/>
      <c r="AT652" s="397"/>
      <c r="AU652" s="397"/>
      <c r="AV652" s="397"/>
      <c r="AW652" s="397"/>
      <c r="AX652" s="397"/>
      <c r="AY652" s="397"/>
      <c r="AZ652" s="397"/>
      <c r="BA652" s="397"/>
      <c r="BB652" s="397"/>
      <c r="BC652" s="397"/>
    </row>
    <row r="653" spans="1:55" s="40" customFormat="1" x14ac:dyDescent="0.4">
      <c r="A653" s="50"/>
      <c r="B653" s="1038"/>
      <c r="C653" s="1038"/>
      <c r="D653" s="245" t="s">
        <v>48</v>
      </c>
      <c r="F653" s="397"/>
      <c r="G653" s="397"/>
      <c r="H653" s="240"/>
      <c r="I653" s="397"/>
      <c r="J653" s="397"/>
      <c r="K653" s="397"/>
      <c r="L653" s="397"/>
      <c r="M653" s="397"/>
      <c r="N653" s="397"/>
      <c r="O653" s="397"/>
      <c r="P653" s="397"/>
      <c r="Q653" s="397"/>
      <c r="R653" s="397"/>
      <c r="S653" s="397"/>
      <c r="T653" s="397"/>
      <c r="U653" s="397"/>
      <c r="V653" s="397"/>
      <c r="W653" s="397"/>
      <c r="X653" s="397"/>
      <c r="Y653" s="397"/>
      <c r="Z653" s="397"/>
      <c r="AA653" s="397"/>
      <c r="AB653" s="397"/>
      <c r="AC653" s="397"/>
      <c r="AD653" s="762"/>
      <c r="AH653" s="397"/>
      <c r="AI653" s="397"/>
      <c r="AJ653" s="397"/>
      <c r="AK653" s="397"/>
      <c r="AL653" s="397"/>
      <c r="AM653" s="397"/>
      <c r="AN653" s="397"/>
      <c r="AO653" s="397"/>
      <c r="AP653" s="397"/>
      <c r="AQ653" s="397"/>
      <c r="AR653" s="397"/>
      <c r="AS653" s="397"/>
      <c r="AT653" s="397"/>
      <c r="AU653" s="397"/>
      <c r="AV653" s="397"/>
      <c r="AW653" s="397"/>
      <c r="AX653" s="397"/>
      <c r="AY653" s="397"/>
      <c r="AZ653" s="397"/>
      <c r="BA653" s="397"/>
      <c r="BB653" s="397"/>
      <c r="BC653" s="397"/>
    </row>
    <row r="654" spans="1:55" s="40" customFormat="1" x14ac:dyDescent="0.4">
      <c r="A654" s="50"/>
      <c r="B654" s="1038"/>
      <c r="C654" s="1038"/>
      <c r="D654" s="245" t="s">
        <v>48</v>
      </c>
      <c r="F654" s="397"/>
      <c r="G654" s="397"/>
      <c r="H654" s="240"/>
      <c r="I654" s="397"/>
      <c r="J654" s="397"/>
      <c r="K654" s="397"/>
      <c r="L654" s="397"/>
      <c r="M654" s="397"/>
      <c r="N654" s="397"/>
      <c r="O654" s="397"/>
      <c r="P654" s="397"/>
      <c r="Q654" s="397"/>
      <c r="R654" s="397"/>
      <c r="S654" s="397"/>
      <c r="T654" s="397"/>
      <c r="U654" s="397"/>
      <c r="V654" s="397"/>
      <c r="W654" s="397"/>
      <c r="X654" s="397"/>
      <c r="Y654" s="397"/>
      <c r="Z654" s="397"/>
      <c r="AA654" s="397"/>
      <c r="AB654" s="397"/>
      <c r="AC654" s="397"/>
      <c r="AD654" s="762"/>
      <c r="AH654" s="397"/>
      <c r="AI654" s="397"/>
      <c r="AJ654" s="397"/>
      <c r="AK654" s="397"/>
      <c r="AL654" s="397"/>
      <c r="AM654" s="397"/>
      <c r="AN654" s="397"/>
      <c r="AO654" s="397"/>
      <c r="AP654" s="397"/>
      <c r="AQ654" s="397"/>
      <c r="AR654" s="397"/>
      <c r="AS654" s="397"/>
      <c r="AT654" s="397"/>
      <c r="AU654" s="397"/>
      <c r="AV654" s="397"/>
      <c r="AW654" s="397"/>
      <c r="AX654" s="397"/>
      <c r="AY654" s="397"/>
      <c r="AZ654" s="397"/>
      <c r="BA654" s="397"/>
      <c r="BB654" s="397"/>
      <c r="BC654" s="397"/>
    </row>
    <row r="655" spans="1:55" s="40" customFormat="1" x14ac:dyDescent="0.4">
      <c r="A655" s="50"/>
      <c r="B655" s="1038"/>
      <c r="C655" s="1038"/>
      <c r="D655" s="245" t="s">
        <v>48</v>
      </c>
      <c r="F655" s="397"/>
      <c r="G655" s="397"/>
      <c r="H655" s="240"/>
      <c r="I655" s="397"/>
      <c r="J655" s="397"/>
      <c r="K655" s="397"/>
      <c r="L655" s="397"/>
      <c r="M655" s="397"/>
      <c r="N655" s="397"/>
      <c r="O655" s="397"/>
      <c r="P655" s="397"/>
      <c r="Q655" s="397"/>
      <c r="R655" s="397"/>
      <c r="S655" s="397"/>
      <c r="T655" s="397"/>
      <c r="U655" s="397"/>
      <c r="V655" s="397"/>
      <c r="W655" s="397"/>
      <c r="X655" s="397"/>
      <c r="Y655" s="397"/>
      <c r="Z655" s="397"/>
      <c r="AA655" s="397"/>
      <c r="AB655" s="397"/>
      <c r="AC655" s="397"/>
      <c r="AD655" s="762"/>
      <c r="AH655" s="397"/>
      <c r="AI655" s="397"/>
      <c r="AJ655" s="397"/>
      <c r="AK655" s="397"/>
      <c r="AL655" s="397"/>
      <c r="AM655" s="397"/>
      <c r="AN655" s="397"/>
      <c r="AO655" s="397"/>
      <c r="AP655" s="397"/>
      <c r="AQ655" s="397"/>
      <c r="AR655" s="397"/>
      <c r="AS655" s="397"/>
      <c r="AT655" s="397"/>
      <c r="AU655" s="397"/>
      <c r="AV655" s="397"/>
      <c r="AW655" s="397"/>
      <c r="AX655" s="397"/>
      <c r="AY655" s="397"/>
      <c r="AZ655" s="397"/>
      <c r="BA655" s="397"/>
      <c r="BB655" s="397"/>
      <c r="BC655" s="397"/>
    </row>
    <row r="656" spans="1:55" s="40" customFormat="1" x14ac:dyDescent="0.4">
      <c r="A656" s="50"/>
      <c r="B656" s="1038"/>
      <c r="C656" s="1038"/>
      <c r="D656" s="245" t="s">
        <v>48</v>
      </c>
      <c r="F656" s="397"/>
      <c r="G656" s="397"/>
      <c r="H656" s="240"/>
      <c r="I656" s="397"/>
      <c r="J656" s="397"/>
      <c r="K656" s="397"/>
      <c r="L656" s="397"/>
      <c r="M656" s="397"/>
      <c r="N656" s="397"/>
      <c r="O656" s="397"/>
      <c r="P656" s="397"/>
      <c r="Q656" s="397"/>
      <c r="R656" s="397"/>
      <c r="S656" s="397"/>
      <c r="T656" s="397"/>
      <c r="U656" s="397"/>
      <c r="V656" s="397"/>
      <c r="W656" s="397"/>
      <c r="X656" s="397"/>
      <c r="Y656" s="397"/>
      <c r="Z656" s="397"/>
      <c r="AA656" s="397"/>
      <c r="AB656" s="397"/>
      <c r="AC656" s="397"/>
      <c r="AD656" s="762"/>
      <c r="AH656" s="397"/>
      <c r="AI656" s="397"/>
      <c r="AJ656" s="397"/>
      <c r="AK656" s="397"/>
      <c r="AL656" s="397"/>
      <c r="AM656" s="397"/>
      <c r="AN656" s="397"/>
      <c r="AO656" s="397"/>
      <c r="AP656" s="397"/>
      <c r="AQ656" s="397"/>
      <c r="AR656" s="397"/>
      <c r="AS656" s="397"/>
      <c r="AT656" s="397"/>
      <c r="AU656" s="397"/>
      <c r="AV656" s="397"/>
      <c r="AW656" s="397"/>
      <c r="AX656" s="397"/>
      <c r="AY656" s="397"/>
      <c r="AZ656" s="397"/>
      <c r="BA656" s="397"/>
      <c r="BB656" s="397"/>
      <c r="BC656" s="397"/>
    </row>
    <row r="657" spans="1:55" s="40" customFormat="1" x14ac:dyDescent="0.4">
      <c r="A657" s="50"/>
      <c r="B657" s="1038"/>
      <c r="C657" s="1038"/>
      <c r="D657" s="245" t="s">
        <v>48</v>
      </c>
      <c r="F657" s="397"/>
      <c r="G657" s="397"/>
      <c r="H657" s="240"/>
      <c r="I657" s="397"/>
      <c r="J657" s="397"/>
      <c r="K657" s="397"/>
      <c r="L657" s="397"/>
      <c r="M657" s="397"/>
      <c r="N657" s="397"/>
      <c r="O657" s="397"/>
      <c r="P657" s="397"/>
      <c r="Q657" s="397"/>
      <c r="R657" s="397"/>
      <c r="S657" s="397"/>
      <c r="T657" s="397"/>
      <c r="U657" s="397"/>
      <c r="V657" s="397"/>
      <c r="W657" s="397"/>
      <c r="X657" s="397"/>
      <c r="Y657" s="397"/>
      <c r="Z657" s="397"/>
      <c r="AA657" s="397"/>
      <c r="AB657" s="397"/>
      <c r="AC657" s="397"/>
      <c r="AD657" s="762"/>
      <c r="AH657" s="397"/>
      <c r="AI657" s="397"/>
      <c r="AJ657" s="397"/>
      <c r="AK657" s="397"/>
      <c r="AL657" s="397"/>
      <c r="AM657" s="397"/>
      <c r="AN657" s="397"/>
      <c r="AO657" s="397"/>
      <c r="AP657" s="397"/>
      <c r="AQ657" s="397"/>
      <c r="AR657" s="397"/>
      <c r="AS657" s="397"/>
      <c r="AT657" s="397"/>
      <c r="AU657" s="397"/>
      <c r="AV657" s="397"/>
      <c r="AW657" s="397"/>
      <c r="AX657" s="397"/>
      <c r="AY657" s="397"/>
      <c r="AZ657" s="397"/>
      <c r="BA657" s="397"/>
      <c r="BB657" s="397"/>
      <c r="BC657" s="397"/>
    </row>
    <row r="658" spans="1:55" s="40" customFormat="1" x14ac:dyDescent="0.4">
      <c r="A658" s="50"/>
      <c r="B658" s="1038"/>
      <c r="C658" s="1038"/>
      <c r="D658" s="245"/>
      <c r="F658" s="397"/>
      <c r="G658" s="397"/>
      <c r="H658" s="240"/>
      <c r="I658" s="397"/>
      <c r="J658" s="397"/>
      <c r="K658" s="397"/>
      <c r="L658" s="397"/>
      <c r="M658" s="397"/>
      <c r="N658" s="397"/>
      <c r="O658" s="397"/>
      <c r="P658" s="397"/>
      <c r="Q658" s="397"/>
      <c r="R658" s="397"/>
      <c r="S658" s="397"/>
      <c r="T658" s="397"/>
      <c r="U658" s="397"/>
      <c r="V658" s="397"/>
      <c r="W658" s="397"/>
      <c r="X658" s="397"/>
      <c r="Y658" s="397"/>
      <c r="Z658" s="397"/>
      <c r="AA658" s="397"/>
      <c r="AB658" s="397"/>
      <c r="AC658" s="397"/>
      <c r="AD658" s="762"/>
      <c r="AH658" s="397"/>
      <c r="AI658" s="397"/>
      <c r="AJ658" s="397"/>
      <c r="AK658" s="397"/>
      <c r="AL658" s="397"/>
      <c r="AM658" s="397"/>
      <c r="AN658" s="397"/>
      <c r="AO658" s="397"/>
      <c r="AP658" s="397"/>
      <c r="AQ658" s="397"/>
      <c r="AR658" s="397"/>
      <c r="AS658" s="397"/>
      <c r="AT658" s="397"/>
      <c r="AU658" s="397"/>
      <c r="AV658" s="397"/>
      <c r="AW658" s="397"/>
      <c r="AX658" s="397"/>
      <c r="AY658" s="397"/>
      <c r="AZ658" s="397"/>
      <c r="BA658" s="397"/>
      <c r="BB658" s="397"/>
      <c r="BC658" s="397"/>
    </row>
    <row r="659" spans="1:55" s="962" customFormat="1" ht="27" customHeight="1" x14ac:dyDescent="0.4">
      <c r="A659" s="1046"/>
      <c r="B659" s="1046"/>
      <c r="C659" s="1046"/>
      <c r="E659" s="962" t="str">
        <f>$E$50</f>
        <v>SÖGULEG LOSUN</v>
      </c>
      <c r="F659" s="963"/>
      <c r="G659" s="963"/>
      <c r="H659" s="964"/>
      <c r="I659" s="963"/>
      <c r="J659" s="963"/>
      <c r="K659" s="963"/>
      <c r="L659" s="963"/>
      <c r="M659" s="963"/>
      <c r="N659" s="963"/>
      <c r="O659" s="963"/>
      <c r="P659" s="963"/>
      <c r="Q659" s="963"/>
      <c r="R659" s="963"/>
      <c r="S659" s="963"/>
      <c r="T659" s="963"/>
      <c r="U659" s="963"/>
      <c r="V659" s="963"/>
      <c r="W659" s="963"/>
      <c r="X659" s="963"/>
      <c r="Y659" s="963"/>
      <c r="Z659" s="963"/>
      <c r="AA659" s="963"/>
      <c r="AB659" s="963"/>
      <c r="AC659" s="963"/>
      <c r="AD659" s="965"/>
      <c r="AG659" s="962" t="str">
        <f>$AG$50</f>
        <v>HISTORICAL EMISSIONS</v>
      </c>
      <c r="AH659" s="963"/>
      <c r="AI659" s="963"/>
      <c r="AJ659" s="963"/>
      <c r="AK659" s="963"/>
      <c r="AL659" s="963"/>
      <c r="AM659" s="963"/>
      <c r="AN659" s="963"/>
      <c r="AO659" s="963"/>
      <c r="AP659" s="963"/>
      <c r="AQ659" s="963"/>
      <c r="AR659" s="963"/>
      <c r="AS659" s="963"/>
      <c r="AT659" s="963"/>
      <c r="AU659" s="963"/>
      <c r="AV659" s="963"/>
      <c r="AW659" s="963"/>
      <c r="AX659" s="963"/>
      <c r="AY659" s="963"/>
      <c r="AZ659" s="963"/>
      <c r="BA659" s="963"/>
      <c r="BB659" s="963"/>
      <c r="BC659" s="963"/>
    </row>
    <row r="660" spans="1:55" s="40" customFormat="1" ht="18" customHeight="1" x14ac:dyDescent="0.4">
      <c r="A660" s="50"/>
      <c r="B660" s="1038"/>
      <c r="C660" s="1038"/>
      <c r="D660" s="245" t="s">
        <v>48</v>
      </c>
      <c r="F660" s="397"/>
      <c r="G660" s="397"/>
      <c r="H660" s="240"/>
      <c r="I660" s="397"/>
      <c r="J660" s="397"/>
      <c r="K660" s="397"/>
      <c r="L660" s="397"/>
      <c r="M660" s="397"/>
      <c r="N660" s="397"/>
      <c r="O660" s="397"/>
      <c r="P660" s="397"/>
      <c r="Q660" s="397"/>
      <c r="R660" s="397"/>
      <c r="S660" s="397"/>
      <c r="T660" s="397"/>
      <c r="U660" s="397"/>
      <c r="V660" s="397"/>
      <c r="W660" s="397"/>
      <c r="X660" s="397"/>
      <c r="Y660" s="397"/>
      <c r="Z660" s="397"/>
      <c r="AA660" s="397"/>
      <c r="AB660" s="397"/>
      <c r="AC660" s="397"/>
      <c r="AD660" s="762"/>
      <c r="AH660" s="397"/>
      <c r="AI660" s="397"/>
      <c r="AJ660" s="397"/>
      <c r="AK660" s="397"/>
      <c r="AL660" s="397"/>
      <c r="AM660" s="397"/>
      <c r="AN660" s="397"/>
      <c r="AO660" s="397"/>
      <c r="AP660" s="397"/>
      <c r="AQ660" s="397"/>
      <c r="AR660" s="397"/>
      <c r="AS660" s="397"/>
      <c r="AT660" s="397"/>
      <c r="AU660" s="397"/>
      <c r="AV660" s="397"/>
      <c r="AW660" s="397"/>
      <c r="AX660" s="397"/>
      <c r="AY660" s="397"/>
      <c r="AZ660" s="397"/>
      <c r="BA660" s="397"/>
      <c r="BB660" s="397"/>
      <c r="BC660" s="397"/>
    </row>
    <row r="661" spans="1:55" s="40" customFormat="1" x14ac:dyDescent="0.4">
      <c r="A661" s="50"/>
      <c r="B661" s="1038"/>
      <c r="C661" s="1038"/>
      <c r="D661" s="245" t="s">
        <v>48</v>
      </c>
      <c r="F661" s="397"/>
      <c r="G661" s="397"/>
      <c r="H661" s="240"/>
      <c r="I661" s="397"/>
      <c r="J661" s="397"/>
      <c r="K661" s="397"/>
      <c r="L661" s="397"/>
      <c r="M661" s="397"/>
      <c r="N661" s="397"/>
      <c r="O661" s="397"/>
      <c r="P661" s="397"/>
      <c r="Q661" s="397"/>
      <c r="R661" s="397"/>
      <c r="S661" s="397"/>
      <c r="T661" s="397"/>
      <c r="U661" s="397"/>
      <c r="V661" s="397"/>
      <c r="W661" s="397"/>
      <c r="X661" s="397"/>
      <c r="Y661" s="397"/>
      <c r="Z661" s="397"/>
      <c r="AA661" s="397"/>
      <c r="AB661" s="397"/>
      <c r="AC661" s="397"/>
      <c r="AD661" s="762"/>
      <c r="AH661" s="397"/>
      <c r="AI661" s="397"/>
      <c r="AJ661" s="397"/>
      <c r="AK661" s="397"/>
      <c r="AL661" s="397"/>
      <c r="AM661" s="397"/>
      <c r="AN661" s="397"/>
      <c r="AO661" s="397"/>
      <c r="AP661" s="397"/>
      <c r="AQ661" s="397"/>
      <c r="AR661" s="397"/>
      <c r="AS661" s="397"/>
      <c r="AT661" s="397"/>
      <c r="AU661" s="397"/>
      <c r="AV661" s="397"/>
      <c r="AW661" s="397"/>
      <c r="AX661" s="397"/>
      <c r="AY661" s="397"/>
      <c r="AZ661" s="397"/>
      <c r="BA661" s="397"/>
      <c r="BB661" s="397"/>
      <c r="BC661" s="397"/>
    </row>
    <row r="662" spans="1:55" s="40" customFormat="1" x14ac:dyDescent="0.4">
      <c r="A662" s="50"/>
      <c r="B662" s="1038"/>
      <c r="C662" s="1038"/>
      <c r="D662" s="245" t="s">
        <v>48</v>
      </c>
      <c r="F662" s="397"/>
      <c r="G662" s="397"/>
      <c r="H662" s="240"/>
      <c r="I662" s="397"/>
      <c r="J662" s="397"/>
      <c r="K662" s="397"/>
      <c r="L662" s="397"/>
      <c r="M662" s="397"/>
      <c r="N662" s="397"/>
      <c r="O662" s="397"/>
      <c r="P662" s="397"/>
      <c r="Q662" s="397"/>
      <c r="R662" s="397"/>
      <c r="S662" s="397"/>
      <c r="T662" s="397"/>
      <c r="U662" s="397"/>
      <c r="V662" s="397"/>
      <c r="W662" s="397"/>
      <c r="X662" s="397"/>
      <c r="Y662" s="397"/>
      <c r="Z662" s="397"/>
      <c r="AA662" s="397"/>
      <c r="AB662" s="397"/>
      <c r="AC662" s="397"/>
      <c r="AD662" s="762"/>
      <c r="AH662" s="397"/>
      <c r="AI662" s="397"/>
      <c r="AJ662" s="397"/>
      <c r="AK662" s="397"/>
      <c r="AL662" s="397"/>
      <c r="AM662" s="397"/>
      <c r="AN662" s="397"/>
      <c r="AO662" s="397"/>
      <c r="AP662" s="397"/>
      <c r="AQ662" s="397"/>
      <c r="AR662" s="397"/>
      <c r="AS662" s="397"/>
      <c r="AT662" s="397"/>
      <c r="AU662" s="397"/>
      <c r="AV662" s="397"/>
      <c r="AW662" s="397"/>
      <c r="AX662" s="397"/>
      <c r="AY662" s="397"/>
      <c r="AZ662" s="397"/>
      <c r="BA662" s="397"/>
      <c r="BB662" s="397"/>
      <c r="BC662" s="397"/>
    </row>
    <row r="663" spans="1:55" s="40" customFormat="1" x14ac:dyDescent="0.4">
      <c r="A663" s="50"/>
      <c r="B663" s="1038"/>
      <c r="C663" s="1038"/>
      <c r="D663" s="245" t="s">
        <v>48</v>
      </c>
      <c r="F663" s="397"/>
      <c r="G663" s="397"/>
      <c r="H663" s="240"/>
      <c r="I663" s="397"/>
      <c r="J663" s="397"/>
      <c r="K663" s="397"/>
      <c r="L663" s="397"/>
      <c r="M663" s="397"/>
      <c r="N663" s="397"/>
      <c r="O663" s="397"/>
      <c r="P663" s="397"/>
      <c r="Q663" s="397"/>
      <c r="R663" s="397"/>
      <c r="S663" s="397"/>
      <c r="T663" s="397"/>
      <c r="U663" s="397"/>
      <c r="V663" s="397"/>
      <c r="W663" s="397"/>
      <c r="X663" s="397"/>
      <c r="Y663" s="397"/>
      <c r="Z663" s="397"/>
      <c r="AA663" s="397"/>
      <c r="AB663" s="397"/>
      <c r="AC663" s="397"/>
      <c r="AD663" s="762"/>
      <c r="AH663" s="397"/>
      <c r="AI663" s="397"/>
      <c r="AJ663" s="397"/>
      <c r="AK663" s="397"/>
      <c r="AL663" s="397"/>
      <c r="AM663" s="397"/>
      <c r="AN663" s="397"/>
      <c r="AO663" s="397"/>
      <c r="AP663" s="397"/>
      <c r="AQ663" s="397"/>
      <c r="AR663" s="397"/>
      <c r="AS663" s="397"/>
      <c r="AT663" s="397"/>
      <c r="AU663" s="397"/>
      <c r="AV663" s="397"/>
      <c r="AW663" s="397"/>
      <c r="AX663" s="397"/>
      <c r="AY663" s="397"/>
      <c r="AZ663" s="397"/>
      <c r="BA663" s="397"/>
      <c r="BB663" s="397"/>
      <c r="BC663" s="397"/>
    </row>
    <row r="664" spans="1:55" s="40" customFormat="1" x14ac:dyDescent="0.4">
      <c r="A664" s="50"/>
      <c r="B664" s="1038"/>
      <c r="C664" s="1038"/>
      <c r="D664" s="245" t="s">
        <v>48</v>
      </c>
      <c r="F664" s="397"/>
      <c r="G664" s="397"/>
      <c r="H664" s="240"/>
      <c r="I664" s="397"/>
      <c r="J664" s="397"/>
      <c r="K664" s="397"/>
      <c r="L664" s="397"/>
      <c r="M664" s="397"/>
      <c r="N664" s="397"/>
      <c r="O664" s="397"/>
      <c r="P664" s="397"/>
      <c r="Q664" s="397"/>
      <c r="R664" s="397"/>
      <c r="S664" s="397"/>
      <c r="T664" s="397"/>
      <c r="U664" s="397"/>
      <c r="V664" s="397"/>
      <c r="W664" s="397"/>
      <c r="X664" s="397"/>
      <c r="Y664" s="397"/>
      <c r="Z664" s="397"/>
      <c r="AA664" s="397"/>
      <c r="AB664" s="397"/>
      <c r="AC664" s="397"/>
      <c r="AD664" s="762"/>
      <c r="AH664" s="397"/>
      <c r="AI664" s="397"/>
      <c r="AJ664" s="397"/>
      <c r="AK664" s="397"/>
      <c r="AL664" s="397"/>
      <c r="AM664" s="397"/>
      <c r="AN664" s="397"/>
      <c r="AO664" s="397"/>
      <c r="AP664" s="397"/>
      <c r="AQ664" s="397"/>
      <c r="AR664" s="397"/>
      <c r="AS664" s="397"/>
      <c r="AT664" s="397"/>
      <c r="AU664" s="397"/>
      <c r="AV664" s="397"/>
      <c r="AW664" s="397"/>
      <c r="AX664" s="397"/>
      <c r="AY664" s="397"/>
      <c r="AZ664" s="397"/>
      <c r="BA664" s="397"/>
      <c r="BB664" s="397"/>
      <c r="BC664" s="397"/>
    </row>
    <row r="665" spans="1:55" s="40" customFormat="1" x14ac:dyDescent="0.4">
      <c r="A665" s="50"/>
      <c r="B665" s="1038"/>
      <c r="C665" s="1038"/>
      <c r="D665" s="245" t="s">
        <v>48</v>
      </c>
      <c r="F665" s="397"/>
      <c r="G665" s="397"/>
      <c r="H665" s="240"/>
      <c r="I665" s="397"/>
      <c r="J665" s="397"/>
      <c r="K665" s="397"/>
      <c r="L665" s="397"/>
      <c r="M665" s="397"/>
      <c r="N665" s="397"/>
      <c r="O665" s="397"/>
      <c r="P665" s="397"/>
      <c r="Q665" s="397"/>
      <c r="R665" s="397"/>
      <c r="S665" s="397"/>
      <c r="T665" s="397"/>
      <c r="U665" s="397"/>
      <c r="V665" s="397"/>
      <c r="W665" s="397"/>
      <c r="X665" s="397"/>
      <c r="Y665" s="397"/>
      <c r="Z665" s="397"/>
      <c r="AA665" s="397"/>
      <c r="AB665" s="397"/>
      <c r="AC665" s="397"/>
      <c r="AD665" s="762"/>
      <c r="AH665" s="397"/>
      <c r="AI665" s="397"/>
      <c r="AJ665" s="397"/>
      <c r="AK665" s="397"/>
      <c r="AL665" s="397"/>
      <c r="AM665" s="397"/>
      <c r="AN665" s="397"/>
      <c r="AO665" s="397"/>
      <c r="AP665" s="397"/>
      <c r="AQ665" s="397"/>
      <c r="AR665" s="397"/>
      <c r="AS665" s="397"/>
      <c r="AT665" s="397"/>
      <c r="AU665" s="397"/>
      <c r="AV665" s="397"/>
      <c r="AW665" s="397"/>
      <c r="AX665" s="397"/>
      <c r="AY665" s="397"/>
      <c r="AZ665" s="397"/>
      <c r="BA665" s="397"/>
      <c r="BB665" s="397"/>
      <c r="BC665" s="397"/>
    </row>
    <row r="666" spans="1:55" s="40" customFormat="1" x14ac:dyDescent="0.4">
      <c r="A666" s="50"/>
      <c r="B666" s="1038"/>
      <c r="C666" s="1038"/>
      <c r="D666" s="245" t="s">
        <v>48</v>
      </c>
      <c r="F666" s="397"/>
      <c r="G666" s="397"/>
      <c r="H666" s="240"/>
      <c r="I666" s="397"/>
      <c r="J666" s="397"/>
      <c r="K666" s="397"/>
      <c r="L666" s="397"/>
      <c r="M666" s="397"/>
      <c r="N666" s="397"/>
      <c r="O666" s="397"/>
      <c r="P666" s="397"/>
      <c r="Q666" s="397"/>
      <c r="R666" s="397"/>
      <c r="S666" s="397"/>
      <c r="T666" s="397"/>
      <c r="U666" s="397"/>
      <c r="V666" s="397"/>
      <c r="W666" s="397"/>
      <c r="X666" s="397"/>
      <c r="Y666" s="397"/>
      <c r="Z666" s="397"/>
      <c r="AA666" s="397"/>
      <c r="AB666" s="397"/>
      <c r="AC666" s="397"/>
      <c r="AD666" s="762"/>
      <c r="AH666" s="397"/>
      <c r="AI666" s="397"/>
      <c r="AJ666" s="397"/>
      <c r="AK666" s="397"/>
      <c r="AL666" s="397"/>
      <c r="AM666" s="397"/>
      <c r="AN666" s="397"/>
      <c r="AO666" s="397"/>
      <c r="AP666" s="397"/>
      <c r="AQ666" s="397"/>
      <c r="AR666" s="397"/>
      <c r="AS666" s="397"/>
      <c r="AT666" s="397"/>
      <c r="AU666" s="397"/>
      <c r="AV666" s="397"/>
      <c r="AW666" s="397"/>
      <c r="AX666" s="397"/>
      <c r="AY666" s="397"/>
      <c r="AZ666" s="397"/>
      <c r="BA666" s="397"/>
      <c r="BB666" s="397"/>
      <c r="BC666" s="397"/>
    </row>
    <row r="667" spans="1:55" s="40" customFormat="1" x14ac:dyDescent="0.4">
      <c r="A667" s="50"/>
      <c r="B667" s="1038"/>
      <c r="C667" s="1038"/>
      <c r="D667" s="245" t="s">
        <v>48</v>
      </c>
      <c r="F667" s="397"/>
      <c r="G667" s="397"/>
      <c r="H667" s="240"/>
      <c r="I667" s="397"/>
      <c r="J667" s="397"/>
      <c r="K667" s="397"/>
      <c r="L667" s="397"/>
      <c r="M667" s="397"/>
      <c r="N667" s="397"/>
      <c r="O667" s="397"/>
      <c r="P667" s="397"/>
      <c r="Q667" s="397"/>
      <c r="R667" s="397"/>
      <c r="S667" s="397"/>
      <c r="T667" s="397"/>
      <c r="U667" s="397"/>
      <c r="V667" s="397"/>
      <c r="W667" s="397"/>
      <c r="X667" s="397"/>
      <c r="Y667" s="397"/>
      <c r="Z667" s="397"/>
      <c r="AA667" s="397"/>
      <c r="AB667" s="397"/>
      <c r="AC667" s="397"/>
      <c r="AD667" s="762"/>
      <c r="AH667" s="397"/>
      <c r="AI667" s="397"/>
      <c r="AJ667" s="397"/>
      <c r="AK667" s="397"/>
      <c r="AL667" s="397"/>
      <c r="AM667" s="397"/>
      <c r="AN667" s="397"/>
      <c r="AO667" s="397"/>
      <c r="AP667" s="397"/>
      <c r="AQ667" s="397"/>
      <c r="AR667" s="397"/>
      <c r="AS667" s="397"/>
      <c r="AT667" s="397"/>
      <c r="AU667" s="397"/>
      <c r="AV667" s="397"/>
      <c r="AW667" s="397"/>
      <c r="AX667" s="397"/>
      <c r="AY667" s="397"/>
      <c r="AZ667" s="397"/>
      <c r="BA667" s="397"/>
      <c r="BB667" s="397"/>
      <c r="BC667" s="397"/>
    </row>
    <row r="668" spans="1:55" s="40" customFormat="1" x14ac:dyDescent="0.4">
      <c r="A668" s="50"/>
      <c r="B668" s="1038"/>
      <c r="C668" s="1038"/>
      <c r="D668" s="245" t="s">
        <v>48</v>
      </c>
      <c r="F668" s="397"/>
      <c r="G668" s="397"/>
      <c r="H668" s="240"/>
      <c r="I668" s="397"/>
      <c r="J668" s="397"/>
      <c r="K668" s="397"/>
      <c r="L668" s="397"/>
      <c r="M668" s="397"/>
      <c r="N668" s="397"/>
      <c r="O668" s="397"/>
      <c r="P668" s="397"/>
      <c r="Q668" s="397"/>
      <c r="R668" s="397"/>
      <c r="S668" s="397"/>
      <c r="T668" s="397"/>
      <c r="U668" s="397"/>
      <c r="V668" s="397"/>
      <c r="W668" s="397"/>
      <c r="X668" s="397"/>
      <c r="Y668" s="397"/>
      <c r="Z668" s="397"/>
      <c r="AA668" s="397"/>
      <c r="AB668" s="397"/>
      <c r="AC668" s="397"/>
      <c r="AD668" s="762"/>
      <c r="AH668" s="397"/>
      <c r="AI668" s="397"/>
      <c r="AJ668" s="397"/>
      <c r="AK668" s="397"/>
      <c r="AL668" s="397"/>
      <c r="AM668" s="397"/>
      <c r="AN668" s="397"/>
      <c r="AO668" s="397"/>
      <c r="AP668" s="397"/>
      <c r="AQ668" s="397"/>
      <c r="AR668" s="397"/>
      <c r="AS668" s="397"/>
      <c r="AT668" s="397"/>
      <c r="AU668" s="397"/>
      <c r="AV668" s="397"/>
      <c r="AW668" s="397"/>
      <c r="AX668" s="397"/>
      <c r="AY668" s="397"/>
      <c r="AZ668" s="397"/>
      <c r="BA668" s="397"/>
      <c r="BB668" s="397"/>
      <c r="BC668" s="397"/>
    </row>
    <row r="669" spans="1:55" s="40" customFormat="1" x14ac:dyDescent="0.4">
      <c r="A669" s="50"/>
      <c r="B669" s="1038"/>
      <c r="C669" s="1038"/>
      <c r="D669" s="245" t="s">
        <v>48</v>
      </c>
      <c r="F669" s="397"/>
      <c r="G669" s="397"/>
      <c r="H669" s="240"/>
      <c r="I669" s="397"/>
      <c r="J669" s="397"/>
      <c r="K669" s="397"/>
      <c r="L669" s="397"/>
      <c r="M669" s="397"/>
      <c r="N669" s="397"/>
      <c r="O669" s="397"/>
      <c r="P669" s="397"/>
      <c r="Q669" s="397"/>
      <c r="R669" s="397"/>
      <c r="S669" s="397"/>
      <c r="T669" s="397"/>
      <c r="U669" s="397"/>
      <c r="V669" s="397"/>
      <c r="W669" s="397"/>
      <c r="X669" s="397"/>
      <c r="Y669" s="397"/>
      <c r="Z669" s="397"/>
      <c r="AA669" s="397"/>
      <c r="AB669" s="397"/>
      <c r="AC669" s="397"/>
      <c r="AD669" s="762"/>
      <c r="AH669" s="397"/>
      <c r="AI669" s="397"/>
      <c r="AJ669" s="397"/>
      <c r="AK669" s="397"/>
      <c r="AL669" s="397"/>
      <c r="AM669" s="397"/>
      <c r="AN669" s="397"/>
      <c r="AO669" s="397"/>
      <c r="AP669" s="397"/>
      <c r="AQ669" s="397"/>
      <c r="AR669" s="397"/>
      <c r="AS669" s="397"/>
      <c r="AT669" s="397"/>
      <c r="AU669" s="397"/>
      <c r="AV669" s="397"/>
      <c r="AW669" s="397"/>
      <c r="AX669" s="397"/>
      <c r="AY669" s="397"/>
      <c r="AZ669" s="397"/>
      <c r="BA669" s="397"/>
      <c r="BB669" s="397"/>
      <c r="BC669" s="397"/>
    </row>
    <row r="670" spans="1:55" s="40" customFormat="1" ht="15" customHeight="1" x14ac:dyDescent="0.4">
      <c r="A670" s="50"/>
      <c r="B670" s="1038"/>
      <c r="C670" s="1038"/>
      <c r="D670" s="245" t="s">
        <v>48</v>
      </c>
      <c r="F670" s="397"/>
      <c r="G670" s="397"/>
      <c r="H670" s="240"/>
      <c r="I670" s="397"/>
      <c r="J670" s="397"/>
      <c r="K670" s="397"/>
      <c r="L670" s="397"/>
      <c r="M670" s="397"/>
      <c r="N670" s="397"/>
      <c r="O670" s="397"/>
      <c r="P670" s="397"/>
      <c r="Q670" s="397"/>
      <c r="R670" s="397"/>
      <c r="S670" s="397"/>
      <c r="T670" s="397"/>
      <c r="U670" s="397"/>
      <c r="V670" s="397"/>
      <c r="W670" s="397"/>
      <c r="X670" s="397"/>
      <c r="Y670" s="397"/>
      <c r="Z670" s="397"/>
      <c r="AA670" s="397"/>
      <c r="AB670" s="397"/>
      <c r="AC670" s="397"/>
      <c r="AD670" s="762"/>
      <c r="AH670" s="397"/>
      <c r="AI670" s="397"/>
      <c r="AJ670" s="397"/>
      <c r="AK670" s="397"/>
      <c r="AL670" s="397"/>
      <c r="AM670" s="397"/>
      <c r="AN670" s="397"/>
      <c r="AO670" s="397"/>
      <c r="AP670" s="397"/>
      <c r="AQ670" s="397"/>
      <c r="AR670" s="397"/>
      <c r="AS670" s="397"/>
      <c r="AT670" s="397"/>
      <c r="AU670" s="397"/>
      <c r="AV670" s="397"/>
      <c r="AW670" s="397"/>
      <c r="AX670" s="397"/>
      <c r="AY670" s="397"/>
      <c r="AZ670" s="397"/>
      <c r="BA670" s="397"/>
      <c r="BB670" s="397"/>
      <c r="BC670" s="397"/>
    </row>
    <row r="671" spans="1:55" s="40" customFormat="1" ht="15" customHeight="1" x14ac:dyDescent="0.4">
      <c r="A671" s="50"/>
      <c r="B671" s="1038"/>
      <c r="C671" s="1038"/>
      <c r="D671" s="245" t="s">
        <v>48</v>
      </c>
      <c r="F671" s="397"/>
      <c r="G671" s="397"/>
      <c r="H671" s="240"/>
      <c r="I671" s="397"/>
      <c r="J671" s="397"/>
      <c r="K671" s="397"/>
      <c r="L671" s="397"/>
      <c r="M671" s="397"/>
      <c r="N671" s="397"/>
      <c r="O671" s="397"/>
      <c r="P671" s="397"/>
      <c r="Q671" s="397"/>
      <c r="R671" s="397"/>
      <c r="S671" s="397"/>
      <c r="T671" s="397"/>
      <c r="U671" s="397"/>
      <c r="V671" s="397"/>
      <c r="W671" s="397"/>
      <c r="X671" s="397"/>
      <c r="Y671" s="397"/>
      <c r="Z671" s="397"/>
      <c r="AA671" s="397"/>
      <c r="AB671" s="397"/>
      <c r="AC671" s="397"/>
      <c r="AD671" s="762"/>
      <c r="AH671" s="397"/>
      <c r="AI671" s="397"/>
      <c r="AJ671" s="397"/>
      <c r="AK671" s="397"/>
      <c r="AL671" s="397"/>
      <c r="AM671" s="397"/>
      <c r="AN671" s="397"/>
      <c r="AO671" s="397"/>
      <c r="AP671" s="397"/>
      <c r="AQ671" s="397"/>
      <c r="AR671" s="397"/>
      <c r="AS671" s="397"/>
      <c r="AT671" s="397"/>
      <c r="AU671" s="397"/>
      <c r="AV671" s="397"/>
      <c r="AW671" s="397"/>
      <c r="AX671" s="397"/>
      <c r="AY671" s="397"/>
      <c r="AZ671" s="397"/>
      <c r="BA671" s="397"/>
      <c r="BB671" s="397"/>
      <c r="BC671" s="397"/>
    </row>
    <row r="672" spans="1:55" s="40" customFormat="1" ht="15" customHeight="1" x14ac:dyDescent="0.4">
      <c r="A672" s="50"/>
      <c r="B672" s="1038"/>
      <c r="C672" s="1038"/>
      <c r="D672" s="245" t="s">
        <v>48</v>
      </c>
      <c r="F672" s="397"/>
      <c r="G672" s="397"/>
      <c r="H672" s="240"/>
      <c r="I672" s="397"/>
      <c r="J672" s="397"/>
      <c r="K672" s="397"/>
      <c r="L672" s="397"/>
      <c r="M672" s="397"/>
      <c r="N672" s="397"/>
      <c r="O672" s="397"/>
      <c r="P672" s="397"/>
      <c r="Q672" s="397"/>
      <c r="R672" s="397"/>
      <c r="S672" s="397"/>
      <c r="T672" s="397"/>
      <c r="U672" s="397"/>
      <c r="V672" s="397"/>
      <c r="W672" s="397"/>
      <c r="X672" s="397"/>
      <c r="Y672" s="397"/>
      <c r="Z672" s="397"/>
      <c r="AA672" s="397"/>
      <c r="AB672" s="397"/>
      <c r="AC672" s="397"/>
      <c r="AD672" s="762"/>
      <c r="AH672" s="397"/>
      <c r="AI672" s="397"/>
      <c r="AJ672" s="397"/>
      <c r="AK672" s="397"/>
      <c r="AL672" s="397"/>
      <c r="AM672" s="397"/>
      <c r="AN672" s="397"/>
      <c r="AO672" s="397"/>
      <c r="AP672" s="397"/>
      <c r="AQ672" s="397"/>
      <c r="AR672" s="397"/>
      <c r="AS672" s="397"/>
      <c r="AT672" s="397"/>
      <c r="AU672" s="397"/>
      <c r="AV672" s="397"/>
      <c r="AW672" s="397"/>
      <c r="AX672" s="397"/>
      <c r="AY672" s="397"/>
      <c r="AZ672" s="397"/>
      <c r="BA672" s="397"/>
      <c r="BB672" s="397"/>
      <c r="BC672" s="397"/>
    </row>
    <row r="673" spans="1:55" s="40" customFormat="1" x14ac:dyDescent="0.4">
      <c r="A673" s="50"/>
      <c r="B673" s="1038"/>
      <c r="C673" s="1038"/>
      <c r="D673" s="245" t="s">
        <v>48</v>
      </c>
      <c r="F673" s="397"/>
      <c r="G673" s="397"/>
      <c r="H673" s="240"/>
      <c r="I673" s="397"/>
      <c r="J673" s="397"/>
      <c r="K673" s="397"/>
      <c r="L673" s="397"/>
      <c r="M673" s="397"/>
      <c r="N673" s="397"/>
      <c r="O673" s="397"/>
      <c r="P673" s="397"/>
      <c r="Q673" s="397"/>
      <c r="R673" s="397"/>
      <c r="S673" s="397"/>
      <c r="T673" s="397"/>
      <c r="U673" s="397"/>
      <c r="V673" s="397"/>
      <c r="W673" s="397"/>
      <c r="X673" s="397"/>
      <c r="Y673" s="397"/>
      <c r="Z673" s="397"/>
      <c r="AA673" s="397"/>
      <c r="AB673" s="397"/>
      <c r="AC673" s="397"/>
      <c r="AD673" s="762"/>
      <c r="AH673" s="397"/>
      <c r="AI673" s="397"/>
      <c r="AJ673" s="397"/>
      <c r="AK673" s="397"/>
      <c r="AL673" s="397"/>
      <c r="AM673" s="397"/>
      <c r="AN673" s="397"/>
      <c r="AO673" s="397"/>
      <c r="AP673" s="397"/>
      <c r="AQ673" s="397"/>
      <c r="AR673" s="397"/>
      <c r="AS673" s="397"/>
      <c r="AT673" s="397"/>
      <c r="AU673" s="397"/>
      <c r="AV673" s="397"/>
      <c r="AW673" s="397"/>
      <c r="AX673" s="397"/>
      <c r="AY673" s="397"/>
      <c r="AZ673" s="397"/>
      <c r="BA673" s="397"/>
      <c r="BB673" s="397"/>
      <c r="BC673" s="397"/>
    </row>
    <row r="674" spans="1:55" s="40" customFormat="1" x14ac:dyDescent="0.4">
      <c r="A674" s="50"/>
      <c r="B674" s="1038"/>
      <c r="C674" s="1038"/>
      <c r="D674" s="245" t="s">
        <v>48</v>
      </c>
      <c r="F674" s="397"/>
      <c r="G674" s="397"/>
      <c r="H674" s="240"/>
      <c r="I674" s="397"/>
      <c r="J674" s="397"/>
      <c r="K674" s="397"/>
      <c r="L674" s="397"/>
      <c r="M674" s="397"/>
      <c r="N674" s="397"/>
      <c r="O674" s="397"/>
      <c r="P674" s="397"/>
      <c r="Q674" s="397"/>
      <c r="R674" s="397"/>
      <c r="S674" s="397"/>
      <c r="T674" s="397"/>
      <c r="U674" s="397"/>
      <c r="V674" s="397"/>
      <c r="W674" s="397"/>
      <c r="X674" s="397"/>
      <c r="Y674" s="397"/>
      <c r="Z674" s="397"/>
      <c r="AA674" s="397"/>
      <c r="AB674" s="397"/>
      <c r="AC674" s="397"/>
      <c r="AD674" s="762"/>
      <c r="AH674" s="397"/>
      <c r="AI674" s="397"/>
      <c r="AJ674" s="397"/>
      <c r="AK674" s="397"/>
      <c r="AL674" s="397"/>
      <c r="AM674" s="397"/>
      <c r="AN674" s="397"/>
      <c r="AO674" s="397"/>
      <c r="AP674" s="397"/>
      <c r="AQ674" s="397"/>
      <c r="AR674" s="397"/>
      <c r="AS674" s="397"/>
      <c r="AT674" s="397"/>
      <c r="AU674" s="397"/>
      <c r="AV674" s="397"/>
      <c r="AW674" s="397"/>
      <c r="AX674" s="397"/>
      <c r="AY674" s="397"/>
      <c r="AZ674" s="397"/>
      <c r="BA674" s="397"/>
      <c r="BB674" s="397"/>
      <c r="BC674" s="397"/>
    </row>
    <row r="675" spans="1:55" s="40" customFormat="1" x14ac:dyDescent="0.4">
      <c r="A675" s="50"/>
      <c r="B675" s="1038"/>
      <c r="C675" s="1038"/>
      <c r="D675" s="245" t="s">
        <v>48</v>
      </c>
      <c r="F675" s="397"/>
      <c r="G675" s="397"/>
      <c r="H675" s="240"/>
      <c r="I675" s="397"/>
      <c r="J675" s="397"/>
      <c r="K675" s="397"/>
      <c r="L675" s="397"/>
      <c r="M675" s="397"/>
      <c r="N675" s="397"/>
      <c r="O675" s="397"/>
      <c r="P675" s="397"/>
      <c r="Q675" s="397"/>
      <c r="R675" s="397"/>
      <c r="S675" s="397"/>
      <c r="T675" s="397"/>
      <c r="U675" s="397"/>
      <c r="V675" s="397"/>
      <c r="W675" s="397"/>
      <c r="X675" s="397"/>
      <c r="Y675" s="397"/>
      <c r="Z675" s="397"/>
      <c r="AA675" s="397"/>
      <c r="AB675" s="397"/>
      <c r="AC675" s="397"/>
      <c r="AD675" s="762"/>
      <c r="AH675" s="397"/>
      <c r="AI675" s="397"/>
      <c r="AJ675" s="397"/>
      <c r="AK675" s="397"/>
      <c r="AL675" s="397"/>
      <c r="AM675" s="397"/>
      <c r="AN675" s="397"/>
      <c r="AO675" s="397"/>
      <c r="AP675" s="397"/>
      <c r="AQ675" s="397"/>
      <c r="AR675" s="397"/>
      <c r="AS675" s="397"/>
      <c r="AT675" s="397"/>
      <c r="AU675" s="397"/>
      <c r="AV675" s="397"/>
      <c r="AW675" s="397"/>
      <c r="AX675" s="397"/>
      <c r="AY675" s="397"/>
      <c r="AZ675" s="397"/>
      <c r="BA675" s="397"/>
      <c r="BB675" s="397"/>
      <c r="BC675" s="397"/>
    </row>
    <row r="676" spans="1:55" s="40" customFormat="1" x14ac:dyDescent="0.4">
      <c r="A676" s="50"/>
      <c r="B676" s="1038"/>
      <c r="C676" s="1038"/>
      <c r="D676" s="245" t="s">
        <v>48</v>
      </c>
      <c r="F676" s="397"/>
      <c r="G676" s="397"/>
      <c r="H676" s="240"/>
      <c r="I676" s="397"/>
      <c r="J676" s="397"/>
      <c r="K676" s="397"/>
      <c r="L676" s="397"/>
      <c r="M676" s="397"/>
      <c r="N676" s="397"/>
      <c r="O676" s="397"/>
      <c r="P676" s="397"/>
      <c r="Q676" s="397"/>
      <c r="R676" s="397"/>
      <c r="S676" s="397"/>
      <c r="T676" s="397"/>
      <c r="U676" s="397"/>
      <c r="V676" s="397"/>
      <c r="W676" s="397"/>
      <c r="X676" s="397"/>
      <c r="Y676" s="397"/>
      <c r="Z676" s="397"/>
      <c r="AA676" s="397"/>
      <c r="AB676" s="397"/>
      <c r="AC676" s="397"/>
      <c r="AD676" s="762"/>
      <c r="AH676" s="397"/>
      <c r="AI676" s="397"/>
      <c r="AJ676" s="397"/>
      <c r="AK676" s="397"/>
      <c r="AL676" s="397"/>
      <c r="AM676" s="397"/>
      <c r="AN676" s="397"/>
      <c r="AO676" s="397"/>
      <c r="AP676" s="397"/>
      <c r="AQ676" s="397"/>
      <c r="AR676" s="397"/>
      <c r="AS676" s="397"/>
      <c r="AT676" s="397"/>
      <c r="AU676" s="397"/>
      <c r="AV676" s="397"/>
      <c r="AW676" s="397"/>
      <c r="AX676" s="397"/>
      <c r="AY676" s="397"/>
      <c r="AZ676" s="397"/>
      <c r="BA676" s="397"/>
      <c r="BB676" s="397"/>
      <c r="BC676" s="397"/>
    </row>
    <row r="677" spans="1:55" s="40" customFormat="1" x14ac:dyDescent="0.4">
      <c r="A677" s="50"/>
      <c r="B677" s="1038"/>
      <c r="C677" s="1038"/>
      <c r="D677" s="245" t="s">
        <v>48</v>
      </c>
      <c r="F677" s="397"/>
      <c r="G677" s="397"/>
      <c r="H677" s="240"/>
      <c r="I677" s="397"/>
      <c r="J677" s="397"/>
      <c r="K677" s="397"/>
      <c r="L677" s="397"/>
      <c r="M677" s="397"/>
      <c r="N677" s="397"/>
      <c r="O677" s="397"/>
      <c r="P677" s="397"/>
      <c r="Q677" s="397"/>
      <c r="R677" s="397"/>
      <c r="S677" s="397"/>
      <c r="T677" s="397"/>
      <c r="U677" s="397"/>
      <c r="V677" s="397"/>
      <c r="W677" s="397"/>
      <c r="X677" s="397"/>
      <c r="Y677" s="397"/>
      <c r="Z677" s="397"/>
      <c r="AA677" s="397"/>
      <c r="AB677" s="397"/>
      <c r="AC677" s="397"/>
      <c r="AD677" s="762"/>
      <c r="AH677" s="397"/>
      <c r="AI677" s="397"/>
      <c r="AJ677" s="397"/>
      <c r="AK677" s="397"/>
      <c r="AL677" s="397"/>
      <c r="AM677" s="397"/>
      <c r="AN677" s="397"/>
      <c r="AO677" s="397"/>
      <c r="AP677" s="397"/>
      <c r="AQ677" s="397"/>
      <c r="AR677" s="397"/>
      <c r="AS677" s="397"/>
      <c r="AT677" s="397"/>
      <c r="AU677" s="397"/>
      <c r="AV677" s="397"/>
      <c r="AW677" s="397"/>
      <c r="AX677" s="397"/>
      <c r="AY677" s="397"/>
      <c r="AZ677" s="397"/>
      <c r="BA677" s="397"/>
      <c r="BB677" s="397"/>
      <c r="BC677" s="397"/>
    </row>
    <row r="678" spans="1:55" s="40" customFormat="1" x14ac:dyDescent="0.4">
      <c r="A678" s="50"/>
      <c r="B678" s="1038"/>
      <c r="C678" s="1038"/>
      <c r="D678" s="245" t="s">
        <v>48</v>
      </c>
      <c r="F678" s="397"/>
      <c r="G678" s="397"/>
      <c r="H678" s="240"/>
      <c r="I678" s="397"/>
      <c r="J678" s="397"/>
      <c r="K678" s="397"/>
      <c r="L678" s="397"/>
      <c r="M678" s="397"/>
      <c r="N678" s="397"/>
      <c r="O678" s="397"/>
      <c r="P678" s="397"/>
      <c r="Q678" s="397"/>
      <c r="R678" s="397"/>
      <c r="S678" s="397"/>
      <c r="T678" s="397"/>
      <c r="U678" s="397"/>
      <c r="V678" s="397"/>
      <c r="W678" s="397"/>
      <c r="X678" s="397"/>
      <c r="Y678" s="397"/>
      <c r="Z678" s="397"/>
      <c r="AA678" s="397"/>
      <c r="AB678" s="397"/>
      <c r="AC678" s="397"/>
      <c r="AD678" s="762"/>
      <c r="AH678" s="397"/>
      <c r="AI678" s="397"/>
      <c r="AJ678" s="397"/>
      <c r="AK678" s="397"/>
      <c r="AL678" s="397"/>
      <c r="AM678" s="397"/>
      <c r="AN678" s="397"/>
      <c r="AO678" s="397"/>
      <c r="AP678" s="397"/>
      <c r="AQ678" s="397"/>
      <c r="AR678" s="397"/>
      <c r="AS678" s="397"/>
      <c r="AT678" s="397"/>
      <c r="AU678" s="397"/>
      <c r="AV678" s="397"/>
      <c r="AW678" s="397"/>
      <c r="AX678" s="397"/>
      <c r="AY678" s="397"/>
      <c r="AZ678" s="397"/>
      <c r="BA678" s="397"/>
      <c r="BB678" s="397"/>
      <c r="BC678" s="397"/>
    </row>
    <row r="679" spans="1:55" s="40" customFormat="1" x14ac:dyDescent="0.4">
      <c r="A679" s="50"/>
      <c r="B679" s="1038"/>
      <c r="C679" s="1038"/>
      <c r="D679" s="245" t="s">
        <v>48</v>
      </c>
      <c r="F679" s="397"/>
      <c r="G679" s="397"/>
      <c r="H679" s="240"/>
      <c r="I679" s="397"/>
      <c r="J679" s="397"/>
      <c r="K679" s="397"/>
      <c r="L679" s="397"/>
      <c r="M679" s="397"/>
      <c r="N679" s="397"/>
      <c r="O679" s="397"/>
      <c r="P679" s="397"/>
      <c r="Q679" s="397"/>
      <c r="R679" s="397"/>
      <c r="S679" s="397"/>
      <c r="T679" s="397"/>
      <c r="U679" s="397"/>
      <c r="V679" s="397"/>
      <c r="W679" s="397"/>
      <c r="X679" s="397"/>
      <c r="Y679" s="397"/>
      <c r="Z679" s="397"/>
      <c r="AA679" s="397"/>
      <c r="AB679" s="397"/>
      <c r="AC679" s="397"/>
      <c r="AD679" s="762"/>
      <c r="AH679" s="397"/>
      <c r="AI679" s="397"/>
      <c r="AJ679" s="397"/>
      <c r="AL679" s="397"/>
      <c r="AM679" s="397"/>
      <c r="AN679" s="397"/>
      <c r="AO679" s="397"/>
      <c r="AP679" s="397"/>
      <c r="AQ679" s="397"/>
      <c r="AR679" s="397"/>
      <c r="AS679" s="397"/>
      <c r="AT679" s="397"/>
      <c r="AU679" s="397"/>
      <c r="AV679" s="397"/>
      <c r="AW679" s="397"/>
      <c r="AX679" s="397"/>
      <c r="AY679" s="397"/>
      <c r="AZ679" s="397"/>
      <c r="BA679" s="397"/>
      <c r="BB679" s="397"/>
      <c r="BC679" s="397"/>
    </row>
    <row r="680" spans="1:55" s="40" customFormat="1" x14ac:dyDescent="0.4">
      <c r="A680" s="50"/>
      <c r="B680" s="1038"/>
      <c r="C680" s="1038"/>
      <c r="D680" s="245" t="s">
        <v>48</v>
      </c>
      <c r="F680" s="397"/>
      <c r="G680" s="397"/>
      <c r="H680" s="240"/>
      <c r="I680" s="397"/>
      <c r="J680" s="397"/>
      <c r="K680" s="397"/>
      <c r="L680" s="397"/>
      <c r="M680" s="397"/>
      <c r="N680" s="397"/>
      <c r="O680" s="397"/>
      <c r="P680" s="397"/>
      <c r="Q680" s="397"/>
      <c r="R680" s="397"/>
      <c r="S680" s="397"/>
      <c r="T680" s="397"/>
      <c r="U680" s="397"/>
      <c r="V680" s="397"/>
      <c r="W680" s="397"/>
      <c r="X680" s="397"/>
      <c r="Y680" s="397"/>
      <c r="Z680" s="397"/>
      <c r="AA680" s="397"/>
      <c r="AB680" s="397"/>
      <c r="AC680" s="397"/>
      <c r="AD680" s="762"/>
      <c r="AH680" s="397"/>
      <c r="AI680" s="397"/>
      <c r="AJ680" s="397"/>
      <c r="AK680" s="397"/>
      <c r="AL680" s="397"/>
      <c r="AM680" s="397"/>
      <c r="AN680" s="397"/>
      <c r="AO680" s="397"/>
      <c r="AP680" s="397"/>
      <c r="AQ680" s="397"/>
      <c r="AR680" s="397"/>
      <c r="AS680" s="397"/>
      <c r="AT680" s="397"/>
      <c r="AU680" s="397"/>
      <c r="AV680" s="397"/>
      <c r="AW680" s="397"/>
      <c r="AX680" s="397"/>
      <c r="AY680" s="397"/>
      <c r="AZ680" s="397"/>
      <c r="BA680" s="397"/>
      <c r="BB680" s="397"/>
      <c r="BC680" s="397"/>
    </row>
    <row r="681" spans="1:55" s="40" customFormat="1" x14ac:dyDescent="0.4">
      <c r="A681" s="50"/>
      <c r="B681" s="1038"/>
      <c r="C681" s="1038"/>
      <c r="D681" s="245" t="s">
        <v>48</v>
      </c>
      <c r="F681" s="397"/>
      <c r="G681" s="397"/>
      <c r="H681" s="240"/>
      <c r="I681" s="397"/>
      <c r="J681" s="397"/>
      <c r="K681" s="397"/>
      <c r="L681" s="397"/>
      <c r="M681" s="397"/>
      <c r="N681" s="397"/>
      <c r="O681" s="397"/>
      <c r="P681" s="397"/>
      <c r="Q681" s="397"/>
      <c r="R681" s="397"/>
      <c r="S681" s="397"/>
      <c r="T681" s="397"/>
      <c r="U681" s="397"/>
      <c r="V681" s="397"/>
      <c r="W681" s="397"/>
      <c r="X681" s="397"/>
      <c r="Y681" s="397"/>
      <c r="Z681" s="397"/>
      <c r="AA681" s="397"/>
      <c r="AB681" s="397"/>
      <c r="AC681" s="397"/>
      <c r="AD681" s="762"/>
      <c r="AH681" s="397"/>
      <c r="AI681" s="397"/>
      <c r="AJ681" s="397"/>
      <c r="AK681" s="397"/>
      <c r="AL681" s="397"/>
      <c r="AM681" s="397"/>
      <c r="AN681" s="397"/>
      <c r="AO681" s="397"/>
      <c r="AP681" s="397"/>
      <c r="AQ681" s="397"/>
      <c r="AR681" s="397"/>
      <c r="AS681" s="397"/>
      <c r="AT681" s="397"/>
      <c r="AU681" s="397"/>
      <c r="AV681" s="397"/>
      <c r="AW681" s="397"/>
      <c r="AX681" s="397"/>
      <c r="AY681" s="397"/>
      <c r="AZ681" s="397"/>
      <c r="BA681" s="397"/>
      <c r="BB681" s="397"/>
      <c r="BC681" s="397"/>
    </row>
    <row r="682" spans="1:55" s="40" customFormat="1" x14ac:dyDescent="0.4">
      <c r="A682" s="50"/>
      <c r="B682" s="1038"/>
      <c r="C682" s="1038"/>
      <c r="D682" s="245"/>
      <c r="F682" s="397"/>
      <c r="G682" s="397"/>
      <c r="H682" s="240"/>
      <c r="I682" s="397"/>
      <c r="J682" s="397"/>
      <c r="K682" s="397"/>
      <c r="L682" s="397"/>
      <c r="M682" s="397"/>
      <c r="N682" s="397"/>
      <c r="O682" s="397"/>
      <c r="P682" s="397"/>
      <c r="Q682" s="397"/>
      <c r="R682" s="397"/>
      <c r="S682" s="397"/>
      <c r="T682" s="397"/>
      <c r="U682" s="397"/>
      <c r="V682" s="397"/>
      <c r="W682" s="397"/>
      <c r="X682" s="397"/>
      <c r="Y682" s="397"/>
      <c r="Z682" s="397"/>
      <c r="AA682" s="397"/>
      <c r="AB682" s="397"/>
      <c r="AC682" s="397"/>
      <c r="AD682" s="762"/>
      <c r="AH682" s="397"/>
      <c r="AI682" s="397"/>
      <c r="AJ682" s="397"/>
      <c r="AK682" s="397"/>
      <c r="AL682" s="397"/>
      <c r="AM682" s="397"/>
      <c r="AN682" s="397"/>
      <c r="AO682" s="397"/>
      <c r="AP682" s="397"/>
      <c r="AQ682" s="397"/>
      <c r="AR682" s="397"/>
      <c r="AS682" s="397"/>
      <c r="AT682" s="397"/>
      <c r="AU682" s="397"/>
      <c r="AV682" s="397"/>
      <c r="AW682" s="397"/>
      <c r="AX682" s="397"/>
      <c r="AY682" s="397"/>
      <c r="AZ682" s="397"/>
      <c r="BA682" s="397"/>
      <c r="BB682" s="397"/>
      <c r="BC682" s="397"/>
    </row>
    <row r="683" spans="1:55" s="962" customFormat="1" ht="27" customHeight="1" x14ac:dyDescent="0.4">
      <c r="A683" s="1046"/>
      <c r="B683" s="1046"/>
      <c r="C683" s="1046"/>
      <c r="E683" s="962" t="str">
        <f>$E$211</f>
        <v>FRAMREIKNUÐ LOSUN</v>
      </c>
      <c r="F683" s="963"/>
      <c r="G683" s="963"/>
      <c r="H683" s="963"/>
      <c r="I683" s="963"/>
      <c r="J683" s="963"/>
      <c r="K683" s="963"/>
      <c r="L683" s="963"/>
      <c r="M683" s="963"/>
      <c r="N683" s="963"/>
      <c r="O683" s="963"/>
      <c r="P683" s="963"/>
      <c r="Q683" s="963"/>
      <c r="R683" s="963"/>
      <c r="S683" s="963"/>
      <c r="T683" s="963"/>
      <c r="U683" s="963"/>
      <c r="V683" s="963"/>
      <c r="W683" s="963"/>
      <c r="X683" s="963"/>
      <c r="Y683" s="963"/>
      <c r="Z683" s="963"/>
      <c r="AA683" s="963"/>
      <c r="AB683" s="963"/>
      <c r="AC683" s="963"/>
      <c r="AD683" s="965"/>
      <c r="AG683" s="962" t="str">
        <f>$AG$211</f>
        <v>EMISSION PROJECTIONS</v>
      </c>
      <c r="AH683" s="963"/>
      <c r="AI683" s="963"/>
      <c r="AJ683" s="963"/>
      <c r="AK683" s="963"/>
      <c r="AL683" s="963"/>
      <c r="AM683" s="963"/>
      <c r="AN683" s="963"/>
      <c r="AO683" s="963"/>
      <c r="AP683" s="963"/>
      <c r="AQ683" s="963"/>
      <c r="AR683" s="963"/>
      <c r="AS683" s="963"/>
      <c r="AT683" s="963"/>
      <c r="AU683" s="963"/>
      <c r="AV683" s="963"/>
      <c r="AW683" s="963"/>
      <c r="AX683" s="963"/>
      <c r="AY683" s="963"/>
      <c r="AZ683" s="963"/>
      <c r="BA683" s="963"/>
      <c r="BB683" s="963"/>
      <c r="BC683" s="963"/>
    </row>
    <row r="684" spans="1:55" s="40" customFormat="1" x14ac:dyDescent="0.4">
      <c r="A684" s="50"/>
      <c r="B684" s="1038"/>
      <c r="C684" s="1038"/>
      <c r="D684" s="245" t="s">
        <v>48</v>
      </c>
      <c r="F684" s="397"/>
      <c r="G684" s="397"/>
      <c r="H684" s="240"/>
      <c r="I684" s="397"/>
      <c r="J684" s="397"/>
      <c r="K684" s="397"/>
      <c r="L684" s="397"/>
      <c r="M684" s="397"/>
      <c r="N684" s="397"/>
      <c r="O684" s="397"/>
      <c r="P684" s="397"/>
      <c r="Q684" s="397"/>
      <c r="R684" s="397"/>
      <c r="S684" s="397"/>
      <c r="T684" s="397"/>
      <c r="U684" s="397"/>
      <c r="V684" s="397"/>
      <c r="W684" s="397"/>
      <c r="X684" s="397"/>
      <c r="Y684" s="397"/>
      <c r="Z684" s="397"/>
      <c r="AA684" s="397"/>
      <c r="AB684" s="397"/>
      <c r="AC684" s="397"/>
      <c r="AD684" s="762"/>
      <c r="AH684" s="397"/>
      <c r="AI684" s="397"/>
      <c r="AJ684" s="397"/>
      <c r="AK684" s="397"/>
      <c r="AL684" s="397"/>
      <c r="AM684" s="397"/>
      <c r="AN684" s="397"/>
      <c r="AO684" s="397"/>
      <c r="AP684" s="397"/>
      <c r="AQ684" s="397"/>
      <c r="AR684" s="397"/>
      <c r="AS684" s="397"/>
      <c r="AT684" s="397"/>
      <c r="AU684" s="397"/>
      <c r="AV684" s="397"/>
      <c r="AW684" s="397"/>
      <c r="AX684" s="397"/>
      <c r="AY684" s="397"/>
      <c r="AZ684" s="397"/>
      <c r="BA684" s="397"/>
      <c r="BB684" s="397"/>
      <c r="BC684" s="397"/>
    </row>
    <row r="685" spans="1:55" s="40" customFormat="1" x14ac:dyDescent="0.4">
      <c r="A685" s="50"/>
      <c r="B685" s="1038"/>
      <c r="C685" s="1038"/>
      <c r="D685" s="245" t="s">
        <v>48</v>
      </c>
      <c r="F685" s="397"/>
      <c r="G685" s="397"/>
      <c r="H685" s="240"/>
      <c r="I685" s="397"/>
      <c r="J685" s="397"/>
      <c r="K685" s="397"/>
      <c r="L685" s="397"/>
      <c r="M685" s="397"/>
      <c r="N685" s="397"/>
      <c r="O685" s="397"/>
      <c r="P685" s="397"/>
      <c r="Q685" s="397"/>
      <c r="R685" s="397"/>
      <c r="S685" s="397"/>
      <c r="T685" s="397"/>
      <c r="U685" s="397"/>
      <c r="V685" s="397"/>
      <c r="W685" s="397"/>
      <c r="X685" s="397"/>
      <c r="Y685" s="397"/>
      <c r="Z685" s="397"/>
      <c r="AA685" s="397"/>
      <c r="AB685" s="397"/>
      <c r="AC685" s="397"/>
      <c r="AD685" s="762"/>
      <c r="AH685" s="397"/>
      <c r="AI685" s="397"/>
      <c r="AJ685" s="397"/>
      <c r="AK685" s="397"/>
      <c r="AL685" s="397"/>
      <c r="AM685" s="397"/>
      <c r="AN685" s="397"/>
      <c r="AO685" s="397"/>
      <c r="AP685" s="397"/>
      <c r="AQ685" s="397"/>
      <c r="AR685" s="397"/>
      <c r="AS685" s="397"/>
      <c r="AT685" s="397"/>
      <c r="AU685" s="397"/>
      <c r="AV685" s="397"/>
      <c r="AW685" s="397"/>
      <c r="AX685" s="397"/>
      <c r="AY685" s="397"/>
      <c r="AZ685" s="397"/>
      <c r="BA685" s="397"/>
      <c r="BB685" s="397"/>
      <c r="BC685" s="397"/>
    </row>
    <row r="686" spans="1:55" s="40" customFormat="1" x14ac:dyDescent="0.4">
      <c r="A686" s="50"/>
      <c r="B686" s="1038"/>
      <c r="C686" s="1038"/>
      <c r="D686" s="245" t="s">
        <v>48</v>
      </c>
      <c r="F686" s="397"/>
      <c r="G686" s="397"/>
      <c r="H686" s="240"/>
      <c r="I686" s="397"/>
      <c r="J686" s="397"/>
      <c r="K686" s="397"/>
      <c r="L686" s="397"/>
      <c r="M686" s="397"/>
      <c r="N686" s="397"/>
      <c r="O686" s="397"/>
      <c r="P686" s="397"/>
      <c r="Q686" s="397"/>
      <c r="R686" s="397"/>
      <c r="S686" s="397"/>
      <c r="T686" s="397"/>
      <c r="U686" s="397"/>
      <c r="V686" s="397"/>
      <c r="W686" s="397"/>
      <c r="X686" s="397"/>
      <c r="Y686" s="397"/>
      <c r="Z686" s="397"/>
      <c r="AA686" s="397"/>
      <c r="AB686" s="397"/>
      <c r="AC686" s="397"/>
      <c r="AD686" s="762"/>
      <c r="AH686" s="397"/>
      <c r="AI686" s="397"/>
      <c r="AJ686" s="397"/>
      <c r="AK686" s="397"/>
      <c r="AL686" s="397"/>
      <c r="AM686" s="397"/>
      <c r="AN686" s="397"/>
      <c r="AO686" s="397"/>
      <c r="AP686" s="397"/>
      <c r="AQ686" s="397"/>
      <c r="AR686" s="397"/>
      <c r="AS686" s="397"/>
      <c r="AT686" s="397"/>
      <c r="AU686" s="397"/>
      <c r="AV686" s="397"/>
      <c r="AW686" s="397"/>
      <c r="AX686" s="397"/>
      <c r="AY686" s="397"/>
      <c r="AZ686" s="397"/>
      <c r="BA686" s="397"/>
      <c r="BB686" s="397"/>
      <c r="BC686" s="397"/>
    </row>
    <row r="687" spans="1:55" s="40" customFormat="1" x14ac:dyDescent="0.4">
      <c r="A687" s="50"/>
      <c r="B687" s="1038"/>
      <c r="C687" s="1038"/>
      <c r="D687" s="245" t="s">
        <v>48</v>
      </c>
      <c r="F687" s="397"/>
      <c r="G687" s="397"/>
      <c r="H687" s="240"/>
      <c r="I687" s="397"/>
      <c r="J687" s="397"/>
      <c r="K687" s="397"/>
      <c r="L687" s="397"/>
      <c r="M687" s="397"/>
      <c r="N687" s="397"/>
      <c r="O687" s="397"/>
      <c r="P687" s="397"/>
      <c r="Q687" s="397"/>
      <c r="R687" s="397"/>
      <c r="S687" s="397"/>
      <c r="T687" s="397"/>
      <c r="U687" s="397"/>
      <c r="V687" s="397"/>
      <c r="W687" s="397"/>
      <c r="X687" s="397"/>
      <c r="Y687" s="397"/>
      <c r="Z687" s="397"/>
      <c r="AA687" s="397"/>
      <c r="AB687" s="397"/>
      <c r="AC687" s="397"/>
      <c r="AD687" s="762"/>
      <c r="AH687" s="397"/>
      <c r="AI687" s="397"/>
      <c r="AJ687" s="397"/>
      <c r="AK687" s="397"/>
      <c r="AL687" s="397"/>
      <c r="AM687" s="397"/>
      <c r="AN687" s="397"/>
      <c r="AO687" s="397"/>
      <c r="AP687" s="397"/>
      <c r="AQ687" s="397"/>
      <c r="AR687" s="397"/>
      <c r="AS687" s="397"/>
      <c r="AT687" s="397"/>
      <c r="AU687" s="397"/>
      <c r="AV687" s="397"/>
      <c r="AW687" s="397"/>
      <c r="AX687" s="397"/>
      <c r="AY687" s="397"/>
      <c r="AZ687" s="397"/>
      <c r="BA687" s="397"/>
      <c r="BB687" s="397"/>
      <c r="BC687" s="397"/>
    </row>
    <row r="688" spans="1:55" s="40" customFormat="1" x14ac:dyDescent="0.4">
      <c r="A688" s="50"/>
      <c r="B688" s="1038"/>
      <c r="C688" s="1038"/>
      <c r="D688" s="245"/>
      <c r="F688" s="397"/>
      <c r="G688" s="397"/>
      <c r="H688" s="240"/>
      <c r="I688" s="397"/>
      <c r="J688" s="397"/>
      <c r="K688" s="397"/>
      <c r="L688" s="397"/>
      <c r="M688" s="397"/>
      <c r="N688" s="397"/>
      <c r="O688" s="397"/>
      <c r="P688" s="397"/>
      <c r="Q688" s="397"/>
      <c r="R688" s="397"/>
      <c r="S688" s="397"/>
      <c r="T688" s="397"/>
      <c r="U688" s="397"/>
      <c r="V688" s="397"/>
      <c r="W688" s="397"/>
      <c r="X688" s="397"/>
      <c r="Y688" s="397"/>
      <c r="Z688" s="397"/>
      <c r="AA688" s="397"/>
      <c r="AB688" s="397"/>
      <c r="AC688" s="397"/>
      <c r="AD688" s="762"/>
      <c r="AH688" s="397"/>
      <c r="AI688" s="397"/>
      <c r="AJ688" s="397"/>
      <c r="AK688" s="397"/>
      <c r="AL688" s="397"/>
      <c r="AM688" s="397"/>
      <c r="AN688" s="397"/>
      <c r="AO688" s="397"/>
      <c r="AP688" s="397"/>
      <c r="AQ688" s="397"/>
      <c r="AR688" s="397"/>
      <c r="AS688" s="397"/>
      <c r="AT688" s="397"/>
      <c r="AU688" s="397"/>
      <c r="AV688" s="397"/>
      <c r="AW688" s="397"/>
      <c r="AX688" s="397"/>
      <c r="AY688" s="397"/>
      <c r="AZ688" s="397"/>
      <c r="BA688" s="397"/>
      <c r="BB688" s="397"/>
      <c r="BC688" s="397"/>
    </row>
    <row r="689" spans="1:55" s="40" customFormat="1" x14ac:dyDescent="0.4">
      <c r="A689" s="50"/>
      <c r="B689" s="1038"/>
      <c r="C689" s="1038"/>
      <c r="D689" s="245"/>
      <c r="F689" s="397"/>
      <c r="G689" s="397"/>
      <c r="H689" s="240"/>
      <c r="I689" s="397"/>
      <c r="J689" s="397"/>
      <c r="K689" s="397"/>
      <c r="L689" s="397"/>
      <c r="M689" s="397"/>
      <c r="N689" s="397"/>
      <c r="O689" s="397"/>
      <c r="P689" s="397"/>
      <c r="Q689" s="397"/>
      <c r="R689" s="397"/>
      <c r="S689" s="397"/>
      <c r="T689" s="397"/>
      <c r="U689" s="397"/>
      <c r="V689" s="397"/>
      <c r="W689" s="397"/>
      <c r="X689" s="397"/>
      <c r="Y689" s="397"/>
      <c r="Z689" s="397"/>
      <c r="AA689" s="397"/>
      <c r="AB689" s="397"/>
      <c r="AC689" s="397"/>
      <c r="AD689" s="762"/>
      <c r="AH689" s="397"/>
      <c r="AI689" s="397"/>
      <c r="AJ689" s="397"/>
      <c r="AK689" s="397"/>
      <c r="AL689" s="397"/>
      <c r="AM689" s="397"/>
      <c r="AN689" s="397"/>
      <c r="AO689" s="397"/>
      <c r="AP689" s="397"/>
      <c r="AQ689" s="397"/>
      <c r="AR689" s="397"/>
      <c r="AS689" s="397"/>
      <c r="AT689" s="397"/>
      <c r="AU689" s="397"/>
      <c r="AV689" s="397"/>
      <c r="AW689" s="397"/>
      <c r="AX689" s="397"/>
      <c r="AY689" s="397"/>
      <c r="AZ689" s="397"/>
      <c r="BA689" s="397"/>
      <c r="BB689" s="397"/>
      <c r="BC689" s="397"/>
    </row>
    <row r="690" spans="1:55" s="40" customFormat="1" x14ac:dyDescent="0.4">
      <c r="A690" s="50"/>
      <c r="B690" s="1038"/>
      <c r="C690" s="1038"/>
      <c r="D690" s="245"/>
      <c r="F690" s="397"/>
      <c r="G690" s="397"/>
      <c r="H690" s="240"/>
      <c r="I690" s="397"/>
      <c r="J690" s="397"/>
      <c r="K690" s="397"/>
      <c r="L690" s="397"/>
      <c r="M690" s="397"/>
      <c r="N690" s="397"/>
      <c r="O690" s="397"/>
      <c r="P690" s="397"/>
      <c r="Q690" s="397"/>
      <c r="R690" s="397"/>
      <c r="S690" s="397"/>
      <c r="T690" s="397"/>
      <c r="U690" s="397"/>
      <c r="V690" s="397"/>
      <c r="W690" s="397"/>
      <c r="X690" s="397"/>
      <c r="Y690" s="397"/>
      <c r="Z690" s="397"/>
      <c r="AA690" s="397"/>
      <c r="AB690" s="397"/>
      <c r="AC690" s="397"/>
      <c r="AD690" s="762"/>
      <c r="AH690" s="397"/>
      <c r="AI690" s="397"/>
      <c r="AJ690" s="397"/>
      <c r="AK690" s="397"/>
      <c r="AL690" s="397"/>
      <c r="AM690" s="397"/>
      <c r="AN690" s="397"/>
      <c r="AO690" s="397"/>
      <c r="AP690" s="397"/>
      <c r="AQ690" s="397"/>
      <c r="AR690" s="397"/>
      <c r="AS690" s="397"/>
      <c r="AT690" s="397"/>
      <c r="AU690" s="397"/>
      <c r="AV690" s="397"/>
      <c r="AW690" s="397"/>
      <c r="AX690" s="397"/>
      <c r="AY690" s="397"/>
      <c r="AZ690" s="397"/>
      <c r="BA690" s="397"/>
      <c r="BB690" s="397"/>
      <c r="BC690" s="397"/>
    </row>
    <row r="691" spans="1:55" s="40" customFormat="1" x14ac:dyDescent="0.4">
      <c r="A691" s="50"/>
      <c r="B691" s="1038"/>
      <c r="C691" s="1038"/>
      <c r="D691" s="245"/>
      <c r="F691" s="397"/>
      <c r="G691" s="397"/>
      <c r="H691" s="240"/>
      <c r="I691" s="397"/>
      <c r="J691" s="397"/>
      <c r="K691" s="397"/>
      <c r="L691" s="397"/>
      <c r="M691" s="397"/>
      <c r="N691" s="397"/>
      <c r="O691" s="397"/>
      <c r="P691" s="397"/>
      <c r="Q691" s="397"/>
      <c r="R691" s="397"/>
      <c r="S691" s="397"/>
      <c r="T691" s="397"/>
      <c r="U691" s="397"/>
      <c r="V691" s="397"/>
      <c r="W691" s="397"/>
      <c r="X691" s="397"/>
      <c r="Y691" s="397"/>
      <c r="Z691" s="397"/>
      <c r="AA691" s="397"/>
      <c r="AB691" s="397"/>
      <c r="AC691" s="397"/>
      <c r="AD691" s="762"/>
      <c r="AH691" s="397"/>
      <c r="AI691" s="397"/>
      <c r="AJ691" s="397"/>
      <c r="AK691" s="397"/>
      <c r="AL691" s="397"/>
      <c r="AM691" s="397"/>
      <c r="AN691" s="397"/>
      <c r="AO691" s="397"/>
      <c r="AP691" s="397"/>
      <c r="AQ691" s="397"/>
      <c r="AR691" s="397"/>
      <c r="AS691" s="397"/>
      <c r="AT691" s="397"/>
      <c r="AU691" s="397"/>
      <c r="AV691" s="397"/>
      <c r="AW691" s="397"/>
      <c r="AX691" s="397"/>
      <c r="AY691" s="397"/>
      <c r="AZ691" s="397"/>
      <c r="BA691" s="397"/>
      <c r="BB691" s="397"/>
      <c r="BC691" s="397"/>
    </row>
    <row r="692" spans="1:55" s="40" customFormat="1" x14ac:dyDescent="0.4">
      <c r="A692" s="50"/>
      <c r="B692" s="1038"/>
      <c r="C692" s="1038"/>
      <c r="D692" s="245"/>
      <c r="F692" s="397"/>
      <c r="G692" s="397"/>
      <c r="H692" s="240"/>
      <c r="I692" s="397"/>
      <c r="J692" s="397"/>
      <c r="K692" s="397"/>
      <c r="L692" s="397"/>
      <c r="M692" s="397"/>
      <c r="N692" s="397"/>
      <c r="O692" s="397"/>
      <c r="P692" s="397"/>
      <c r="Q692" s="397"/>
      <c r="R692" s="397"/>
      <c r="S692" s="397"/>
      <c r="T692" s="397"/>
      <c r="U692" s="397"/>
      <c r="V692" s="397"/>
      <c r="W692" s="397"/>
      <c r="X692" s="397"/>
      <c r="Y692" s="397"/>
      <c r="Z692" s="397"/>
      <c r="AA692" s="397"/>
      <c r="AB692" s="397"/>
      <c r="AC692" s="397"/>
      <c r="AD692" s="762"/>
      <c r="AH692" s="397"/>
      <c r="AI692" s="397"/>
      <c r="AJ692" s="397"/>
      <c r="AK692" s="397"/>
      <c r="AL692" s="397"/>
      <c r="AM692" s="397"/>
      <c r="AN692" s="397"/>
      <c r="AO692" s="397"/>
      <c r="AP692" s="397"/>
      <c r="AQ692" s="397"/>
      <c r="AR692" s="397"/>
      <c r="AS692" s="397"/>
      <c r="AT692" s="397"/>
      <c r="AU692" s="397"/>
      <c r="AV692" s="397"/>
      <c r="AW692" s="397"/>
      <c r="AX692" s="397"/>
      <c r="AY692" s="397"/>
      <c r="AZ692" s="397"/>
      <c r="BA692" s="397"/>
      <c r="BB692" s="397"/>
      <c r="BC692" s="397"/>
    </row>
    <row r="693" spans="1:55" s="40" customFormat="1" x14ac:dyDescent="0.4">
      <c r="A693" s="50"/>
      <c r="B693" s="1038"/>
      <c r="C693" s="1038"/>
      <c r="D693" s="245"/>
      <c r="F693" s="397"/>
      <c r="G693" s="397"/>
      <c r="H693" s="240"/>
      <c r="I693" s="397"/>
      <c r="J693" s="397"/>
      <c r="K693" s="397"/>
      <c r="L693" s="397"/>
      <c r="M693" s="397"/>
      <c r="N693" s="397"/>
      <c r="O693" s="397"/>
      <c r="P693" s="397"/>
      <c r="Q693" s="397"/>
      <c r="R693" s="397"/>
      <c r="S693" s="397"/>
      <c r="T693" s="397"/>
      <c r="U693" s="397"/>
      <c r="V693" s="397"/>
      <c r="W693" s="397"/>
      <c r="X693" s="397"/>
      <c r="Y693" s="397"/>
      <c r="Z693" s="397"/>
      <c r="AA693" s="397"/>
      <c r="AB693" s="397"/>
      <c r="AC693" s="397"/>
      <c r="AD693" s="762"/>
      <c r="AH693" s="397"/>
      <c r="AI693" s="397"/>
      <c r="AJ693" s="397"/>
      <c r="AK693" s="397"/>
      <c r="AL693" s="397"/>
      <c r="AM693" s="397"/>
      <c r="AN693" s="397"/>
      <c r="AO693" s="397"/>
      <c r="AP693" s="397"/>
      <c r="AQ693" s="397"/>
      <c r="AR693" s="397"/>
      <c r="AS693" s="397"/>
      <c r="AT693" s="397"/>
      <c r="AU693" s="397"/>
      <c r="AV693" s="397"/>
      <c r="AW693" s="397"/>
      <c r="AX693" s="397"/>
      <c r="AY693" s="397"/>
      <c r="AZ693" s="397"/>
      <c r="BA693" s="397"/>
      <c r="BB693" s="397"/>
      <c r="BC693" s="397"/>
    </row>
    <row r="694" spans="1:55" s="40" customFormat="1" x14ac:dyDescent="0.4">
      <c r="A694" s="50"/>
      <c r="B694" s="1038"/>
      <c r="C694" s="1038"/>
      <c r="D694" s="245"/>
      <c r="F694" s="397"/>
      <c r="G694" s="397"/>
      <c r="H694" s="240"/>
      <c r="I694" s="397"/>
      <c r="J694" s="397"/>
      <c r="K694" s="397"/>
      <c r="L694" s="397"/>
      <c r="M694" s="397"/>
      <c r="N694" s="397"/>
      <c r="O694" s="397"/>
      <c r="P694" s="397"/>
      <c r="Q694" s="397"/>
      <c r="R694" s="397"/>
      <c r="S694" s="397"/>
      <c r="T694" s="397"/>
      <c r="U694" s="397"/>
      <c r="V694" s="397"/>
      <c r="W694" s="397"/>
      <c r="X694" s="397"/>
      <c r="Y694" s="397"/>
      <c r="Z694" s="397"/>
      <c r="AA694" s="397"/>
      <c r="AB694" s="397"/>
      <c r="AC694" s="397"/>
      <c r="AD694" s="762"/>
      <c r="AH694" s="397"/>
      <c r="AI694" s="397"/>
      <c r="AJ694" s="397"/>
      <c r="AK694" s="397"/>
      <c r="AL694" s="397"/>
      <c r="AM694" s="397"/>
      <c r="AN694" s="397"/>
      <c r="AO694" s="397"/>
      <c r="AP694" s="397"/>
      <c r="AQ694" s="397"/>
      <c r="AR694" s="397"/>
      <c r="AS694" s="397"/>
      <c r="AT694" s="397"/>
      <c r="AU694" s="397"/>
      <c r="AV694" s="397"/>
      <c r="AW694" s="397"/>
      <c r="AX694" s="397"/>
      <c r="AY694" s="397"/>
      <c r="AZ694" s="397"/>
      <c r="BA694" s="397"/>
      <c r="BB694" s="397"/>
      <c r="BC694" s="397"/>
    </row>
    <row r="695" spans="1:55" s="40" customFormat="1" x14ac:dyDescent="0.4">
      <c r="A695" s="50"/>
      <c r="B695" s="1038"/>
      <c r="C695" s="1038"/>
      <c r="D695" s="245"/>
      <c r="F695" s="397"/>
      <c r="G695" s="397"/>
      <c r="H695" s="240"/>
      <c r="I695" s="397"/>
      <c r="J695" s="397"/>
      <c r="K695" s="397"/>
      <c r="L695" s="397"/>
      <c r="M695" s="397"/>
      <c r="N695" s="397"/>
      <c r="O695" s="397"/>
      <c r="P695" s="397"/>
      <c r="Q695" s="397"/>
      <c r="R695" s="397"/>
      <c r="S695" s="397"/>
      <c r="T695" s="397"/>
      <c r="U695" s="397"/>
      <c r="V695" s="397"/>
      <c r="W695" s="397"/>
      <c r="X695" s="397"/>
      <c r="Y695" s="397"/>
      <c r="Z695" s="397"/>
      <c r="AA695" s="397"/>
      <c r="AB695" s="397"/>
      <c r="AC695" s="397"/>
      <c r="AD695" s="762"/>
      <c r="AH695" s="397"/>
      <c r="AI695" s="397"/>
      <c r="AJ695" s="397"/>
      <c r="AK695" s="397"/>
      <c r="AL695" s="397"/>
      <c r="AM695" s="397"/>
      <c r="AN695" s="397"/>
      <c r="AO695" s="397"/>
      <c r="AP695" s="397"/>
      <c r="AQ695" s="397"/>
      <c r="AR695" s="397"/>
      <c r="AS695" s="397"/>
      <c r="AT695" s="397"/>
      <c r="AU695" s="397"/>
      <c r="AV695" s="397"/>
      <c r="AW695" s="397"/>
      <c r="AX695" s="397"/>
      <c r="AY695" s="397"/>
      <c r="AZ695" s="397"/>
      <c r="BA695" s="397"/>
      <c r="BB695" s="397"/>
      <c r="BC695" s="397"/>
    </row>
    <row r="696" spans="1:55" s="40" customFormat="1" x14ac:dyDescent="0.4">
      <c r="A696" s="50"/>
      <c r="B696" s="1038"/>
      <c r="C696" s="1038"/>
      <c r="D696" s="245"/>
      <c r="F696" s="397"/>
      <c r="G696" s="397"/>
      <c r="H696" s="240"/>
      <c r="I696" s="397"/>
      <c r="J696" s="397"/>
      <c r="K696" s="397"/>
      <c r="L696" s="397"/>
      <c r="M696" s="397"/>
      <c r="N696" s="397"/>
      <c r="O696" s="397"/>
      <c r="P696" s="397"/>
      <c r="Q696" s="397"/>
      <c r="R696" s="397"/>
      <c r="S696" s="397"/>
      <c r="T696" s="397"/>
      <c r="U696" s="397"/>
      <c r="V696" s="397"/>
      <c r="W696" s="397"/>
      <c r="X696" s="397"/>
      <c r="Y696" s="397"/>
      <c r="Z696" s="397"/>
      <c r="AA696" s="397"/>
      <c r="AB696" s="397"/>
      <c r="AC696" s="397"/>
      <c r="AD696" s="762"/>
      <c r="AH696" s="397"/>
      <c r="AI696" s="397"/>
      <c r="AJ696" s="397"/>
      <c r="AK696" s="397"/>
      <c r="AL696" s="397"/>
      <c r="AM696" s="397"/>
      <c r="AN696" s="397"/>
      <c r="AO696" s="397"/>
      <c r="AP696" s="397"/>
      <c r="AQ696" s="397"/>
      <c r="AR696" s="397"/>
      <c r="AS696" s="397"/>
      <c r="AT696" s="397"/>
      <c r="AU696" s="397"/>
      <c r="AV696" s="397"/>
      <c r="AW696" s="397"/>
      <c r="AX696" s="397"/>
      <c r="AY696" s="397"/>
      <c r="AZ696" s="397"/>
      <c r="BA696" s="397"/>
      <c r="BB696" s="397"/>
      <c r="BC696" s="397"/>
    </row>
    <row r="697" spans="1:55" s="40" customFormat="1" x14ac:dyDescent="0.4">
      <c r="A697" s="50"/>
      <c r="B697" s="1038"/>
      <c r="C697" s="1038"/>
      <c r="D697" s="245"/>
      <c r="F697" s="397"/>
      <c r="G697" s="397"/>
      <c r="H697" s="240"/>
      <c r="I697" s="397"/>
      <c r="J697" s="397"/>
      <c r="K697" s="397"/>
      <c r="L697" s="397"/>
      <c r="M697" s="397"/>
      <c r="N697" s="397"/>
      <c r="O697" s="397"/>
      <c r="P697" s="397"/>
      <c r="Q697" s="397"/>
      <c r="R697" s="397"/>
      <c r="S697" s="397"/>
      <c r="T697" s="397"/>
      <c r="U697" s="397"/>
      <c r="V697" s="397"/>
      <c r="W697" s="397"/>
      <c r="X697" s="397"/>
      <c r="Y697" s="397"/>
      <c r="Z697" s="397"/>
      <c r="AA697" s="397"/>
      <c r="AB697" s="397"/>
      <c r="AC697" s="397"/>
      <c r="AD697" s="762"/>
      <c r="AH697" s="397"/>
      <c r="AI697" s="397"/>
      <c r="AJ697" s="397"/>
      <c r="AK697" s="397"/>
      <c r="AL697" s="397"/>
      <c r="AM697" s="397"/>
      <c r="AN697" s="397"/>
      <c r="AO697" s="397"/>
      <c r="AP697" s="397"/>
      <c r="AQ697" s="397"/>
      <c r="AR697" s="397"/>
      <c r="AS697" s="397"/>
      <c r="AT697" s="397"/>
      <c r="AU697" s="397"/>
      <c r="AV697" s="397"/>
      <c r="AW697" s="397"/>
      <c r="AX697" s="397"/>
      <c r="AY697" s="397"/>
      <c r="AZ697" s="397"/>
      <c r="BA697" s="397"/>
      <c r="BB697" s="397"/>
      <c r="BC697" s="397"/>
    </row>
    <row r="698" spans="1:55" s="40" customFormat="1" x14ac:dyDescent="0.4">
      <c r="A698" s="50"/>
      <c r="B698" s="1038"/>
      <c r="C698" s="1038"/>
      <c r="D698" s="245"/>
      <c r="F698" s="397"/>
      <c r="G698" s="397"/>
      <c r="H698" s="240"/>
      <c r="I698" s="397"/>
      <c r="J698" s="397"/>
      <c r="K698" s="397"/>
      <c r="L698" s="397"/>
      <c r="M698" s="397"/>
      <c r="N698" s="397"/>
      <c r="O698" s="397"/>
      <c r="P698" s="397"/>
      <c r="Q698" s="397"/>
      <c r="R698" s="397"/>
      <c r="S698" s="397"/>
      <c r="T698" s="397"/>
      <c r="U698" s="397"/>
      <c r="V698" s="397"/>
      <c r="W698" s="397"/>
      <c r="X698" s="397"/>
      <c r="Y698" s="397"/>
      <c r="Z698" s="397"/>
      <c r="AA698" s="397"/>
      <c r="AB698" s="397"/>
      <c r="AC698" s="397"/>
      <c r="AD698" s="762"/>
      <c r="AH698" s="397"/>
      <c r="AI698" s="397"/>
      <c r="AJ698" s="397"/>
      <c r="AK698" s="397"/>
      <c r="AL698" s="397"/>
      <c r="AM698" s="397"/>
      <c r="AN698" s="397"/>
      <c r="AO698" s="397"/>
      <c r="AP698" s="397"/>
      <c r="AQ698" s="397"/>
      <c r="AR698" s="397"/>
      <c r="AS698" s="397"/>
      <c r="AT698" s="397"/>
      <c r="AU698" s="397"/>
      <c r="AV698" s="397"/>
      <c r="AW698" s="397"/>
      <c r="AX698" s="397"/>
      <c r="AY698" s="397"/>
      <c r="AZ698" s="397"/>
      <c r="BA698" s="397"/>
      <c r="BB698" s="397"/>
      <c r="BC698" s="397"/>
    </row>
    <row r="699" spans="1:55" s="40" customFormat="1" x14ac:dyDescent="0.4">
      <c r="A699" s="50"/>
      <c r="B699" s="1038"/>
      <c r="C699" s="1038"/>
      <c r="D699" s="245"/>
      <c r="F699" s="397"/>
      <c r="G699" s="397"/>
      <c r="H699" s="240"/>
      <c r="I699" s="397"/>
      <c r="J699" s="397"/>
      <c r="K699" s="397"/>
      <c r="L699" s="397"/>
      <c r="M699" s="397"/>
      <c r="N699" s="397"/>
      <c r="O699" s="397"/>
      <c r="P699" s="397"/>
      <c r="Q699" s="397"/>
      <c r="R699" s="397"/>
      <c r="S699" s="397"/>
      <c r="T699" s="397"/>
      <c r="U699" s="397"/>
      <c r="V699" s="397"/>
      <c r="W699" s="397"/>
      <c r="X699" s="397"/>
      <c r="Y699" s="397"/>
      <c r="Z699" s="397"/>
      <c r="AA699" s="397"/>
      <c r="AB699" s="397"/>
      <c r="AC699" s="397"/>
      <c r="AD699" s="762"/>
      <c r="AH699" s="397"/>
      <c r="AI699" s="397"/>
      <c r="AJ699" s="397"/>
      <c r="AK699" s="397"/>
      <c r="AL699" s="397"/>
      <c r="AM699" s="397"/>
      <c r="AN699" s="397"/>
      <c r="AO699" s="397"/>
      <c r="AP699" s="397"/>
      <c r="AQ699" s="397"/>
      <c r="AR699" s="397"/>
      <c r="AS699" s="397"/>
      <c r="AT699" s="397"/>
      <c r="AU699" s="397"/>
      <c r="AV699" s="397"/>
      <c r="AW699" s="397"/>
      <c r="AX699" s="397"/>
      <c r="AY699" s="397"/>
      <c r="AZ699" s="397"/>
      <c r="BA699" s="397"/>
      <c r="BB699" s="397"/>
      <c r="BC699" s="397"/>
    </row>
    <row r="700" spans="1:55" s="40" customFormat="1" x14ac:dyDescent="0.4">
      <c r="A700" s="50"/>
      <c r="B700" s="1038"/>
      <c r="C700" s="1038"/>
      <c r="D700" s="245"/>
      <c r="F700" s="397"/>
      <c r="G700" s="397"/>
      <c r="H700" s="240"/>
      <c r="I700" s="397"/>
      <c r="J700" s="397"/>
      <c r="K700" s="397"/>
      <c r="L700" s="397"/>
      <c r="M700" s="397"/>
      <c r="N700" s="397"/>
      <c r="O700" s="397"/>
      <c r="P700" s="397"/>
      <c r="Q700" s="397"/>
      <c r="R700" s="397"/>
      <c r="S700" s="397"/>
      <c r="T700" s="397"/>
      <c r="U700" s="397"/>
      <c r="V700" s="397"/>
      <c r="W700" s="397"/>
      <c r="X700" s="397"/>
      <c r="Y700" s="397"/>
      <c r="Z700" s="397"/>
      <c r="AA700" s="397"/>
      <c r="AB700" s="397"/>
      <c r="AC700" s="397"/>
      <c r="AD700" s="762"/>
      <c r="AH700" s="397"/>
      <c r="AI700" s="397"/>
      <c r="AJ700" s="397"/>
      <c r="AK700" s="397"/>
      <c r="AL700" s="397"/>
      <c r="AM700" s="397"/>
      <c r="AN700" s="397"/>
      <c r="AO700" s="397"/>
      <c r="AP700" s="397"/>
      <c r="AQ700" s="397"/>
      <c r="AR700" s="397"/>
      <c r="AS700" s="397"/>
      <c r="AT700" s="397"/>
      <c r="AU700" s="397"/>
      <c r="AV700" s="397"/>
      <c r="AW700" s="397"/>
      <c r="AX700" s="397"/>
      <c r="AY700" s="397"/>
      <c r="AZ700" s="397"/>
      <c r="BA700" s="397"/>
      <c r="BB700" s="397"/>
      <c r="BC700" s="397"/>
    </row>
    <row r="701" spans="1:55" s="40" customFormat="1" x14ac:dyDescent="0.4">
      <c r="A701" s="50"/>
      <c r="B701" s="1038"/>
      <c r="C701" s="1038"/>
      <c r="D701" s="245"/>
      <c r="F701" s="397"/>
      <c r="G701" s="397"/>
      <c r="H701" s="240"/>
      <c r="I701" s="397"/>
      <c r="J701" s="397"/>
      <c r="K701" s="397"/>
      <c r="L701" s="397"/>
      <c r="M701" s="397"/>
      <c r="N701" s="397"/>
      <c r="O701" s="397"/>
      <c r="P701" s="397"/>
      <c r="Q701" s="397"/>
      <c r="R701" s="397"/>
      <c r="S701" s="397"/>
      <c r="T701" s="397"/>
      <c r="U701" s="397"/>
      <c r="V701" s="397"/>
      <c r="W701" s="397"/>
      <c r="X701" s="397"/>
      <c r="Y701" s="397"/>
      <c r="Z701" s="397"/>
      <c r="AA701" s="397"/>
      <c r="AB701" s="397"/>
      <c r="AC701" s="397"/>
      <c r="AD701" s="762"/>
      <c r="AH701" s="397"/>
      <c r="AI701" s="397"/>
      <c r="AJ701" s="397"/>
      <c r="AK701" s="397"/>
      <c r="AL701" s="397"/>
      <c r="AM701" s="397"/>
      <c r="AN701" s="397"/>
      <c r="AO701" s="397"/>
      <c r="AP701" s="397"/>
      <c r="AQ701" s="397"/>
      <c r="AR701" s="397"/>
      <c r="AS701" s="397"/>
      <c r="AT701" s="397"/>
      <c r="AU701" s="397"/>
      <c r="AV701" s="397"/>
      <c r="AW701" s="397"/>
      <c r="AX701" s="397"/>
      <c r="AY701" s="397"/>
      <c r="AZ701" s="397"/>
      <c r="BA701" s="397"/>
      <c r="BB701" s="397"/>
      <c r="BC701" s="397"/>
    </row>
    <row r="702" spans="1:55" s="40" customFormat="1" x14ac:dyDescent="0.4">
      <c r="A702" s="50"/>
      <c r="B702" s="1038"/>
      <c r="C702" s="1038"/>
      <c r="D702" s="245"/>
      <c r="F702" s="397"/>
      <c r="G702" s="397"/>
      <c r="H702" s="240"/>
      <c r="I702" s="397"/>
      <c r="J702" s="397"/>
      <c r="K702" s="397"/>
      <c r="L702" s="397"/>
      <c r="M702" s="397"/>
      <c r="N702" s="397"/>
      <c r="O702" s="397"/>
      <c r="P702" s="397"/>
      <c r="Q702" s="397"/>
      <c r="R702" s="397"/>
      <c r="S702" s="397"/>
      <c r="T702" s="397"/>
      <c r="U702" s="397"/>
      <c r="V702" s="397"/>
      <c r="W702" s="397"/>
      <c r="X702" s="397"/>
      <c r="Y702" s="397"/>
      <c r="Z702" s="397"/>
      <c r="AA702" s="397"/>
      <c r="AB702" s="397"/>
      <c r="AC702" s="397"/>
      <c r="AD702" s="762"/>
      <c r="AH702" s="397"/>
      <c r="AI702" s="397"/>
      <c r="AJ702" s="397"/>
      <c r="AK702" s="397"/>
      <c r="AL702" s="397"/>
      <c r="AM702" s="397"/>
      <c r="AN702" s="397"/>
      <c r="AO702" s="397"/>
      <c r="AP702" s="397"/>
      <c r="AQ702" s="397"/>
      <c r="AR702" s="397"/>
      <c r="AS702" s="397"/>
      <c r="AT702" s="397"/>
      <c r="AU702" s="397"/>
      <c r="AV702" s="397"/>
      <c r="AW702" s="397"/>
      <c r="AX702" s="397"/>
      <c r="AY702" s="397"/>
      <c r="AZ702" s="397"/>
      <c r="BA702" s="397"/>
      <c r="BB702" s="397"/>
      <c r="BC702" s="397"/>
    </row>
    <row r="703" spans="1:55" s="40" customFormat="1" x14ac:dyDescent="0.4">
      <c r="A703" s="50"/>
      <c r="B703" s="1038"/>
      <c r="C703" s="1038"/>
      <c r="D703" s="245"/>
      <c r="F703" s="397"/>
      <c r="G703" s="397"/>
      <c r="H703" s="240"/>
      <c r="I703" s="397"/>
      <c r="J703" s="397"/>
      <c r="K703" s="397"/>
      <c r="L703" s="397"/>
      <c r="M703" s="397"/>
      <c r="N703" s="397"/>
      <c r="O703" s="397"/>
      <c r="P703" s="397"/>
      <c r="Q703" s="397"/>
      <c r="R703" s="397"/>
      <c r="S703" s="397"/>
      <c r="T703" s="397"/>
      <c r="U703" s="397"/>
      <c r="V703" s="397"/>
      <c r="W703" s="397"/>
      <c r="X703" s="397"/>
      <c r="Y703" s="397"/>
      <c r="Z703" s="397"/>
      <c r="AA703" s="397"/>
      <c r="AB703" s="397"/>
      <c r="AC703" s="397"/>
      <c r="AD703" s="762"/>
      <c r="AH703" s="397"/>
      <c r="AI703" s="397"/>
      <c r="AJ703" s="397"/>
      <c r="AK703" s="397"/>
      <c r="AL703" s="397"/>
      <c r="AM703" s="397"/>
      <c r="AN703" s="397"/>
      <c r="AO703" s="397"/>
      <c r="AP703" s="397"/>
      <c r="AQ703" s="397"/>
      <c r="AR703" s="397"/>
      <c r="AS703" s="397"/>
      <c r="AT703" s="397"/>
      <c r="AU703" s="397"/>
      <c r="AV703" s="397"/>
      <c r="AW703" s="397"/>
      <c r="AX703" s="397"/>
      <c r="AY703" s="397"/>
      <c r="AZ703" s="397"/>
      <c r="BA703" s="397"/>
      <c r="BB703" s="397"/>
      <c r="BC703" s="397"/>
    </row>
    <row r="704" spans="1:55" s="40" customFormat="1" x14ac:dyDescent="0.4">
      <c r="A704" s="50"/>
      <c r="B704" s="1038"/>
      <c r="C704" s="1038"/>
      <c r="D704" s="245"/>
      <c r="F704" s="397"/>
      <c r="G704" s="397"/>
      <c r="H704" s="240"/>
      <c r="I704" s="397"/>
      <c r="J704" s="397"/>
      <c r="K704" s="397"/>
      <c r="L704" s="397"/>
      <c r="M704" s="397"/>
      <c r="N704" s="397"/>
      <c r="O704" s="397"/>
      <c r="P704" s="397"/>
      <c r="Q704" s="397"/>
      <c r="R704" s="397"/>
      <c r="S704" s="397"/>
      <c r="T704" s="397"/>
      <c r="U704" s="397"/>
      <c r="V704" s="397"/>
      <c r="W704" s="397"/>
      <c r="X704" s="397"/>
      <c r="Y704" s="397"/>
      <c r="Z704" s="397"/>
      <c r="AA704" s="397"/>
      <c r="AB704" s="397"/>
      <c r="AC704" s="397"/>
      <c r="AD704" s="762"/>
      <c r="AH704" s="397"/>
      <c r="AI704" s="397"/>
      <c r="AJ704" s="397"/>
      <c r="AK704" s="397"/>
      <c r="AL704" s="397"/>
      <c r="AM704" s="397"/>
      <c r="AN704" s="397"/>
      <c r="AO704" s="397"/>
      <c r="AP704" s="397"/>
      <c r="AQ704" s="397"/>
      <c r="AR704" s="397"/>
      <c r="AS704" s="397"/>
      <c r="AT704" s="397"/>
      <c r="AU704" s="397"/>
      <c r="AV704" s="397"/>
      <c r="AW704" s="397"/>
      <c r="AX704" s="397"/>
      <c r="AY704" s="397"/>
      <c r="AZ704" s="397"/>
      <c r="BA704" s="397"/>
      <c r="BB704" s="397"/>
      <c r="BC704" s="397"/>
    </row>
    <row r="705" spans="1:55" s="40" customFormat="1" x14ac:dyDescent="0.4">
      <c r="A705" s="50"/>
      <c r="B705" s="1038"/>
      <c r="C705" s="1038"/>
      <c r="D705" s="245"/>
      <c r="F705" s="397"/>
      <c r="G705" s="397"/>
      <c r="H705" s="240"/>
      <c r="I705" s="397"/>
      <c r="J705" s="397"/>
      <c r="K705" s="397"/>
      <c r="L705" s="397"/>
      <c r="M705" s="397"/>
      <c r="N705" s="397"/>
      <c r="O705" s="397"/>
      <c r="P705" s="397"/>
      <c r="Q705" s="397"/>
      <c r="R705" s="397"/>
      <c r="S705" s="397"/>
      <c r="T705" s="397"/>
      <c r="U705" s="397"/>
      <c r="V705" s="397"/>
      <c r="W705" s="397"/>
      <c r="X705" s="397"/>
      <c r="Y705" s="397"/>
      <c r="Z705" s="397"/>
      <c r="AA705" s="397"/>
      <c r="AB705" s="397"/>
      <c r="AC705" s="397"/>
      <c r="AD705" s="762"/>
      <c r="AH705" s="397"/>
      <c r="AI705" s="397"/>
      <c r="AJ705" s="397"/>
      <c r="AK705" s="397"/>
      <c r="AL705" s="397"/>
      <c r="AM705" s="397"/>
      <c r="AN705" s="397"/>
      <c r="AO705" s="397"/>
      <c r="AP705" s="397"/>
      <c r="AQ705" s="397"/>
      <c r="AR705" s="397"/>
      <c r="AS705" s="397"/>
      <c r="AT705" s="397"/>
      <c r="AU705" s="397"/>
      <c r="AV705" s="397"/>
      <c r="AW705" s="397"/>
      <c r="AX705" s="397"/>
      <c r="AY705" s="397"/>
      <c r="AZ705" s="397"/>
      <c r="BA705" s="397"/>
      <c r="BB705" s="397"/>
      <c r="BC705" s="397"/>
    </row>
    <row r="706" spans="1:55" s="40" customFormat="1" x14ac:dyDescent="0.4">
      <c r="A706" s="50"/>
      <c r="B706" s="1038"/>
      <c r="C706" s="1038"/>
      <c r="D706" s="245"/>
      <c r="F706" s="397"/>
      <c r="G706" s="397"/>
      <c r="H706" s="240"/>
      <c r="I706" s="397"/>
      <c r="J706" s="397"/>
      <c r="K706" s="397"/>
      <c r="L706" s="397"/>
      <c r="M706" s="397"/>
      <c r="N706" s="397"/>
      <c r="O706" s="397"/>
      <c r="P706" s="397"/>
      <c r="Q706" s="397"/>
      <c r="R706" s="397"/>
      <c r="S706" s="397"/>
      <c r="T706" s="397"/>
      <c r="U706" s="397"/>
      <c r="V706" s="397"/>
      <c r="W706" s="397"/>
      <c r="X706" s="397"/>
      <c r="Y706" s="397"/>
      <c r="Z706" s="397"/>
      <c r="AA706" s="397"/>
      <c r="AB706" s="397"/>
      <c r="AC706" s="397"/>
      <c r="AD706" s="762"/>
      <c r="AH706" s="397"/>
      <c r="AI706" s="397"/>
      <c r="AJ706" s="397"/>
      <c r="AK706" s="397"/>
      <c r="AL706" s="397"/>
      <c r="AM706" s="397"/>
      <c r="AN706" s="397"/>
      <c r="AO706" s="397"/>
      <c r="AP706" s="397"/>
      <c r="AQ706" s="397"/>
      <c r="AR706" s="397"/>
      <c r="AS706" s="397"/>
      <c r="AT706" s="397"/>
      <c r="AU706" s="397"/>
      <c r="AV706" s="397"/>
      <c r="AW706" s="397"/>
      <c r="AX706" s="397"/>
      <c r="AY706" s="397"/>
      <c r="AZ706" s="397"/>
      <c r="BA706" s="397"/>
      <c r="BB706" s="397"/>
      <c r="BC706" s="397"/>
    </row>
    <row r="707" spans="1:55" s="40" customFormat="1" x14ac:dyDescent="0.4">
      <c r="A707" s="50"/>
      <c r="B707" s="1038"/>
      <c r="C707" s="1038"/>
      <c r="D707" s="245" t="s">
        <v>48</v>
      </c>
      <c r="F707" s="397"/>
      <c r="G707" s="397"/>
      <c r="H707" s="240"/>
      <c r="I707" s="397"/>
      <c r="J707" s="397"/>
      <c r="K707" s="397"/>
      <c r="L707" s="397"/>
      <c r="M707" s="397"/>
      <c r="N707" s="397"/>
      <c r="O707" s="397"/>
      <c r="P707" s="397"/>
      <c r="Q707" s="397"/>
      <c r="R707" s="397"/>
      <c r="S707" s="397"/>
      <c r="T707" s="397"/>
      <c r="U707" s="397"/>
      <c r="V707" s="397"/>
      <c r="W707" s="397"/>
      <c r="X707" s="397"/>
      <c r="Y707" s="397"/>
      <c r="Z707" s="397"/>
      <c r="AA707" s="397"/>
      <c r="AB707" s="397"/>
      <c r="AC707" s="397"/>
      <c r="AD707" s="762"/>
      <c r="AH707" s="397"/>
      <c r="AI707" s="397"/>
      <c r="AJ707" s="397"/>
      <c r="AK707" s="397"/>
      <c r="AL707" s="397"/>
      <c r="AM707" s="397"/>
      <c r="AN707" s="397"/>
      <c r="AO707" s="397"/>
      <c r="AP707" s="397"/>
      <c r="AQ707" s="397"/>
      <c r="AR707" s="397"/>
      <c r="AS707" s="397"/>
      <c r="AT707" s="397"/>
      <c r="AU707" s="397"/>
      <c r="AV707" s="397"/>
      <c r="AW707" s="397"/>
      <c r="AX707" s="397"/>
      <c r="AY707" s="397"/>
      <c r="AZ707" s="397"/>
      <c r="BA707" s="397"/>
      <c r="BB707" s="397"/>
      <c r="BC707" s="397"/>
    </row>
    <row r="708" spans="1:55" s="40" customFormat="1" x14ac:dyDescent="0.4">
      <c r="A708" s="50"/>
      <c r="B708" s="1038"/>
      <c r="C708" s="1038"/>
      <c r="D708" s="245"/>
      <c r="F708" s="397"/>
      <c r="G708" s="397"/>
      <c r="H708" s="240"/>
      <c r="I708" s="397"/>
      <c r="J708" s="397"/>
      <c r="K708" s="397"/>
      <c r="L708" s="397"/>
      <c r="M708" s="397"/>
      <c r="N708" s="397"/>
      <c r="O708" s="397"/>
      <c r="P708" s="397"/>
      <c r="Q708" s="397"/>
      <c r="R708" s="397"/>
      <c r="S708" s="397"/>
      <c r="T708" s="397"/>
      <c r="U708" s="397"/>
      <c r="V708" s="397"/>
      <c r="W708" s="397"/>
      <c r="X708" s="397"/>
      <c r="Y708" s="397"/>
      <c r="Z708" s="397"/>
      <c r="AA708" s="397"/>
      <c r="AB708" s="397"/>
      <c r="AC708" s="397"/>
      <c r="AD708" s="762"/>
      <c r="AH708" s="397"/>
      <c r="AI708" s="397"/>
      <c r="AJ708" s="397"/>
      <c r="AK708" s="397"/>
      <c r="AL708" s="397"/>
      <c r="AM708" s="397"/>
      <c r="AN708" s="397"/>
      <c r="AO708" s="397"/>
      <c r="AP708" s="397"/>
      <c r="AQ708" s="397"/>
      <c r="AR708" s="397"/>
      <c r="AS708" s="397"/>
      <c r="AT708" s="397"/>
      <c r="AU708" s="397"/>
      <c r="AV708" s="397"/>
      <c r="AW708" s="397"/>
      <c r="AX708" s="397"/>
      <c r="AY708" s="397"/>
      <c r="AZ708" s="397"/>
      <c r="BA708" s="397"/>
      <c r="BB708" s="397"/>
      <c r="BC708" s="397"/>
    </row>
    <row r="709" spans="1:55" s="122" customFormat="1" ht="46.5" customHeight="1" x14ac:dyDescent="0.85">
      <c r="A709" s="1055"/>
      <c r="B709" s="1055"/>
      <c r="C709" s="1055"/>
      <c r="E709" s="1074" t="s">
        <v>450</v>
      </c>
      <c r="F709" s="181"/>
      <c r="G709" s="181"/>
      <c r="H709" s="182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777"/>
      <c r="AG709" s="122" t="s">
        <v>191</v>
      </c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</row>
    <row r="710" spans="1:55" s="257" customFormat="1" ht="37.5" customHeight="1" x14ac:dyDescent="0.4">
      <c r="A710" s="1056"/>
      <c r="B710" s="1056"/>
      <c r="C710" s="1056"/>
      <c r="D710" s="255"/>
      <c r="E710" s="256" t="s">
        <v>474</v>
      </c>
      <c r="F710" s="708"/>
      <c r="G710" s="708"/>
      <c r="H710" s="710"/>
      <c r="I710" s="708"/>
      <c r="J710" s="708"/>
      <c r="K710" s="708"/>
      <c r="L710" s="708"/>
      <c r="M710" s="708"/>
      <c r="N710" s="708"/>
      <c r="O710" s="708"/>
      <c r="P710" s="708"/>
      <c r="Q710" s="708"/>
      <c r="R710" s="708"/>
      <c r="S710" s="708"/>
      <c r="T710" s="708"/>
      <c r="U710" s="708"/>
      <c r="V710" s="708"/>
      <c r="W710" s="708"/>
      <c r="X710" s="708"/>
      <c r="Y710" s="708"/>
      <c r="Z710" s="708"/>
      <c r="AA710" s="708"/>
      <c r="AB710" s="708"/>
      <c r="AC710" s="708"/>
      <c r="AD710" s="778"/>
      <c r="AE710" s="255"/>
      <c r="AF710" s="255"/>
      <c r="AG710" s="256" t="s">
        <v>475</v>
      </c>
      <c r="AH710" s="751"/>
      <c r="AI710" s="751"/>
      <c r="AJ710" s="751"/>
      <c r="AK710" s="751"/>
      <c r="AL710" s="751"/>
      <c r="AM710" s="751"/>
      <c r="AN710" s="751"/>
      <c r="AO710" s="751"/>
      <c r="AP710" s="751"/>
      <c r="AQ710" s="751"/>
      <c r="AR710" s="751"/>
      <c r="AS710" s="751"/>
      <c r="AT710" s="751"/>
      <c r="AU710" s="751"/>
      <c r="AV710" s="751"/>
      <c r="AW710" s="751"/>
      <c r="AX710" s="751"/>
      <c r="AY710" s="751"/>
      <c r="AZ710" s="751"/>
      <c r="BA710" s="751"/>
      <c r="BB710" s="751"/>
      <c r="BC710" s="751"/>
    </row>
    <row r="711" spans="1:55" s="40" customFormat="1" x14ac:dyDescent="0.4">
      <c r="A711" s="50"/>
      <c r="B711" s="1038"/>
      <c r="C711" s="1038"/>
      <c r="D711" s="245" t="s">
        <v>48</v>
      </c>
      <c r="F711" s="397"/>
      <c r="G711" s="397"/>
      <c r="H711" s="240"/>
      <c r="I711" s="397"/>
      <c r="J711" s="397"/>
      <c r="K711" s="397"/>
      <c r="L711" s="397"/>
      <c r="M711" s="397"/>
      <c r="N711" s="397"/>
      <c r="O711" s="397"/>
      <c r="P711" s="397"/>
      <c r="Q711" s="397"/>
      <c r="R711" s="397"/>
      <c r="S711" s="397"/>
      <c r="T711" s="397"/>
      <c r="U711" s="397"/>
      <c r="V711" s="397"/>
      <c r="W711" s="397"/>
      <c r="X711" s="397"/>
      <c r="Y711" s="397"/>
      <c r="Z711" s="397"/>
      <c r="AA711" s="397"/>
      <c r="AB711" s="397"/>
      <c r="AC711" s="397"/>
      <c r="AD711" s="762"/>
      <c r="AH711" s="397"/>
      <c r="AI711" s="397"/>
      <c r="AJ711" s="397"/>
      <c r="AK711" s="397"/>
      <c r="AL711" s="397"/>
      <c r="AM711" s="397"/>
      <c r="AN711" s="397"/>
      <c r="AO711" s="397"/>
      <c r="AP711" s="397"/>
      <c r="AQ711" s="397"/>
      <c r="AR711" s="397"/>
      <c r="AS711" s="397"/>
      <c r="AT711" s="397"/>
      <c r="AU711" s="397"/>
      <c r="AV711" s="397"/>
      <c r="AW711" s="397"/>
      <c r="AX711" s="397"/>
      <c r="AY711" s="397"/>
      <c r="AZ711" s="397"/>
      <c r="BA711" s="397"/>
      <c r="BB711" s="397"/>
      <c r="BC711" s="397"/>
    </row>
    <row r="712" spans="1:55" ht="47.4" customHeight="1" x14ac:dyDescent="0.4">
      <c r="D712" s="236"/>
      <c r="E712" s="1203" t="str">
        <f>"STAÐAN ÁRIÐ "&amp;$A$1</f>
        <v>STAÐAN ÁRIÐ 2024</v>
      </c>
      <c r="F712" s="969"/>
      <c r="G712" s="969"/>
      <c r="H712" s="969"/>
      <c r="I712" s="969"/>
      <c r="J712" s="969"/>
      <c r="K712" s="969"/>
      <c r="L712" s="969"/>
      <c r="M712" s="969"/>
      <c r="O712" s="1203" t="s">
        <v>403</v>
      </c>
      <c r="P712" s="1205" t="s">
        <v>416</v>
      </c>
      <c r="Q712" s="1206"/>
      <c r="R712" s="1206"/>
      <c r="S712" s="1206"/>
      <c r="AG712" s="1203" t="str">
        <f>$AG$6</f>
        <v>2024 EMISSIONS</v>
      </c>
      <c r="AH712" s="969"/>
      <c r="AI712" s="969"/>
      <c r="AJ712" s="969"/>
      <c r="AK712" s="969"/>
      <c r="AL712" s="969"/>
      <c r="AM712" s="969"/>
      <c r="AN712" s="969"/>
      <c r="AO712" s="969"/>
      <c r="AP712" s="397"/>
      <c r="AQ712" s="1203" t="str">
        <f>$AQ$6</f>
        <v>OUTLOOKS</v>
      </c>
      <c r="AR712" s="1205" t="str">
        <f>$AR$6</f>
        <v>Estimated change in emissions based on
With Existing Measures scenario</v>
      </c>
      <c r="AS712" s="1206"/>
      <c r="AT712" s="1206"/>
      <c r="AU712" s="1206"/>
      <c r="AV712" s="1207" t="str">
        <f>$AV$6</f>
        <v>Estimated change in emissions based on
With Addiotional Measures scenario</v>
      </c>
      <c r="AW712" s="1206"/>
    </row>
    <row r="713" spans="1:55" s="40" customFormat="1" ht="16.95" customHeight="1" x14ac:dyDescent="0.4">
      <c r="A713" s="50"/>
      <c r="B713" s="1038"/>
      <c r="C713" s="1038"/>
      <c r="D713" s="245" t="s">
        <v>48</v>
      </c>
      <c r="E713" s="1203"/>
      <c r="F713" s="1208" t="str">
        <f>"Losun "&amp;$A$1</f>
        <v>Losun 2024</v>
      </c>
      <c r="G713" s="1209"/>
      <c r="H713" s="1210" t="str">
        <f>"Breyting frá "&amp;$B$3</f>
        <v>Breyting frá 2023</v>
      </c>
      <c r="I713" s="1209"/>
      <c r="J713" s="1210" t="str">
        <f>"Breyting frá "&amp;$B$2</f>
        <v>Breyting frá 2005</v>
      </c>
      <c r="K713" s="1209"/>
      <c r="L713" s="1210" t="str">
        <f>"Breyting frá "&amp;$B$1</f>
        <v>Breyting frá 1990</v>
      </c>
      <c r="M713" s="1208"/>
      <c r="N713" s="240"/>
      <c r="O713" s="1203"/>
      <c r="P713" s="1210" t="s">
        <v>417</v>
      </c>
      <c r="Q713" s="1209"/>
      <c r="R713" s="1210" t="s">
        <v>418</v>
      </c>
      <c r="S713" s="1208"/>
      <c r="T713" s="397"/>
      <c r="U713" s="397"/>
      <c r="V713" s="397"/>
      <c r="W713" s="397"/>
      <c r="X713" s="397"/>
      <c r="Y713" s="397"/>
      <c r="Z713" s="397"/>
      <c r="AA713" s="397"/>
      <c r="AB713" s="397"/>
      <c r="AC713" s="397"/>
      <c r="AD713" s="762"/>
      <c r="AG713" s="1203"/>
      <c r="AH713" s="1211" t="str">
        <f>$AH$7</f>
        <v>Emissions in 2023</v>
      </c>
      <c r="AI713" s="1209"/>
      <c r="AJ713" s="1210" t="str">
        <f>$AJ$7</f>
        <v>Change from 2022</v>
      </c>
      <c r="AK713" s="1209"/>
      <c r="AL713" s="1210" t="str">
        <f>$AL$7</f>
        <v>Change from 2005</v>
      </c>
      <c r="AM713" s="1209"/>
      <c r="AN713" s="1210" t="str">
        <f>$AN$7</f>
        <v>Change from 1990</v>
      </c>
      <c r="AO713" s="1208"/>
      <c r="AP713" s="397"/>
      <c r="AQ713" s="1203"/>
      <c r="AR713" s="1211" t="str">
        <f>$AR$7</f>
        <v>2030 compared to 2005</v>
      </c>
      <c r="AS713" s="1209"/>
      <c r="AT713" s="1210" t="str">
        <f>$AT$7</f>
        <v>2055 compared to 1990</v>
      </c>
      <c r="AU713" s="1208"/>
      <c r="AV713" s="1210" t="str">
        <f>$AR$7</f>
        <v>2030 compared to 2005</v>
      </c>
      <c r="AW713" s="1209"/>
      <c r="AX713" s="397"/>
      <c r="AY713" s="397"/>
      <c r="AZ713" s="397"/>
      <c r="BA713" s="397"/>
      <c r="BB713" s="397"/>
      <c r="BC713" s="397"/>
    </row>
    <row r="714" spans="1:55" s="40" customFormat="1" ht="17.399999999999999" customHeight="1" thickBot="1" x14ac:dyDescent="0.45">
      <c r="A714" s="50"/>
      <c r="B714" s="1038"/>
      <c r="C714" s="1038"/>
      <c r="D714" s="245" t="s">
        <v>48</v>
      </c>
      <c r="E714" s="1204"/>
      <c r="F714" s="970" t="s">
        <v>433</v>
      </c>
      <c r="G714" s="971" t="s">
        <v>4</v>
      </c>
      <c r="H714" s="970" t="str">
        <f>$F$8</f>
        <v>Þús. tonn CO₂-íg.</v>
      </c>
      <c r="I714" s="971" t="s">
        <v>4</v>
      </c>
      <c r="J714" s="970" t="str">
        <f>$F$8</f>
        <v>Þús. tonn CO₂-íg.</v>
      </c>
      <c r="K714" s="971" t="s">
        <v>4</v>
      </c>
      <c r="L714" s="970" t="str">
        <f>$F$8</f>
        <v>Þús. tonn CO₂-íg.</v>
      </c>
      <c r="M714" s="970" t="s">
        <v>4</v>
      </c>
      <c r="N714" s="240"/>
      <c r="O714" s="1204"/>
      <c r="P714" s="970" t="str">
        <f>$F$8</f>
        <v>Þús. tonn CO₂-íg.</v>
      </c>
      <c r="Q714" s="971" t="s">
        <v>4</v>
      </c>
      <c r="R714" s="970" t="str">
        <f>$F$8</f>
        <v>Þús. tonn CO₂-íg.</v>
      </c>
      <c r="S714" s="970" t="s">
        <v>4</v>
      </c>
      <c r="T714" s="397"/>
      <c r="U714" s="397"/>
      <c r="V714" s="397"/>
      <c r="W714" s="397"/>
      <c r="X714" s="397"/>
      <c r="Y714" s="397"/>
      <c r="Z714" s="397"/>
      <c r="AA714" s="397"/>
      <c r="AB714" s="397"/>
      <c r="AC714" s="397"/>
      <c r="AD714" s="762"/>
      <c r="AG714" s="1204"/>
      <c r="AH714" s="970" t="str">
        <f>$AH$8</f>
        <v>Thousand tons CO₂e</v>
      </c>
      <c r="AI714" s="971" t="s">
        <v>4</v>
      </c>
      <c r="AJ714" s="970" t="str">
        <f>$AH$8</f>
        <v>Thousand tons CO₂e</v>
      </c>
      <c r="AK714" s="971" t="s">
        <v>4</v>
      </c>
      <c r="AL714" s="970" t="str">
        <f>$F$8</f>
        <v>Þús. tonn CO₂-íg.</v>
      </c>
      <c r="AM714" s="971" t="s">
        <v>4</v>
      </c>
      <c r="AN714" s="970" t="str">
        <f>$AH$8</f>
        <v>Thousand tons CO₂e</v>
      </c>
      <c r="AO714" s="970" t="s">
        <v>4</v>
      </c>
      <c r="AP714" s="397"/>
      <c r="AQ714" s="1204"/>
      <c r="AR714" s="970" t="str">
        <f>$AH$8</f>
        <v>Thousand tons CO₂e</v>
      </c>
      <c r="AS714" s="971" t="s">
        <v>4</v>
      </c>
      <c r="AT714" s="970" t="str">
        <f>$AH$8</f>
        <v>Thousand tons CO₂e</v>
      </c>
      <c r="AU714" s="970" t="s">
        <v>4</v>
      </c>
      <c r="AV714" s="970" t="str">
        <f>$AH$8</f>
        <v>Thousand tons CO₂e</v>
      </c>
      <c r="AW714" s="970" t="s">
        <v>4</v>
      </c>
      <c r="AX714" s="397"/>
      <c r="AY714" s="397"/>
      <c r="AZ714" s="397"/>
      <c r="BA714" s="397"/>
      <c r="BB714" s="397"/>
      <c r="BC714" s="397"/>
    </row>
    <row r="715" spans="1:55" s="40" customFormat="1" ht="21" customHeight="1" thickTop="1" x14ac:dyDescent="0.4">
      <c r="A715" s="50" t="s">
        <v>84</v>
      </c>
      <c r="B715" s="50" t="s">
        <v>344</v>
      </c>
      <c r="C715" s="50" t="s">
        <v>347</v>
      </c>
      <c r="D715" s="245" t="s">
        <v>48</v>
      </c>
      <c r="E715" s="986" t="str">
        <f>'Talnagögn | Numerical Data'!$D$216</f>
        <v>Alþjóðaflug</v>
      </c>
      <c r="F715" s="996" cm="1">
        <f t="array" ref="F715">INDEX('Talnagögn | Numerical Data'!$1:$1048576,_xlfn.XMATCH($A715,'Talnagögn | Numerical Data'!$A:$A),_xlfn.XMATCH($A$1,'Talnagögn | Numerical Data'!$1:$1))</f>
        <v>1007.0566484977654</v>
      </c>
      <c r="G715" s="987">
        <f>F715/$F$717</f>
        <v>0.75688906921224752</v>
      </c>
      <c r="H715" s="980" cm="1">
        <f t="array" ref="H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Data'!$A:$A),_xlfn.XMATCH($B$3,'Talnagögn | Numerical Data'!$1:$1))</f>
        <v>39.403889685744957</v>
      </c>
      <c r="I715" s="1067" cm="1">
        <f t="array" ref="I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Data'!$A:$A),_xlfn.XMATCH($B$3,'Talnagögn | Numerical Data'!$1:$1))-1</f>
        <v>4.0721105093650234E-2</v>
      </c>
      <c r="J715" s="980" cm="1">
        <f t="array" ref="J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Data'!$A:$A),_xlfn.XMATCH($B$2,'Talnagögn | Numerical Data'!$1:$1))</f>
        <v>582.62660031496534</v>
      </c>
      <c r="K715" s="987" cm="1">
        <f t="array" ref="K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Data'!$A:$A),_xlfn.XMATCH($B$2,'Talnagögn | Numerical Data'!$1:$1))-1</f>
        <v>1.3727270319561136</v>
      </c>
      <c r="L715" s="980" cm="1">
        <f t="array" ref="L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Data'!$A:$A),_xlfn.XMATCH($B$1,'Talnagögn | Numerical Data'!$1:$1))</f>
        <v>785.94727042109878</v>
      </c>
      <c r="M715" s="979" cm="1">
        <f t="array" ref="M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Data'!$A:$A),_xlfn.XMATCH($B$1,'Talnagögn | Numerical Data'!$1:$1))-1</f>
        <v>3.5545632539773253</v>
      </c>
      <c r="O715" s="986" t="str">
        <f>'Talnagögn | Numerical Data'!$D$216</f>
        <v>Alþjóðaflug</v>
      </c>
      <c r="P715" s="980" cm="1">
        <f t="array" ref="P715">INDEX('Talnagögn | Numerical Data'!$1:$1048576,_xlfn.XMATCH($B715,'Talnagögn | Numerical Data'!$B:$B),_xlfn.XMATCH($B$4,'Talnagögn | Numerical Data'!$1:$1))-INDEX('Talnagögn | Numerical Data'!$1:$1048576,_xlfn.XMATCH($A715,'Talnagögn | Numerical Data'!$A:$A),_xlfn.XMATCH($B$2,'Talnagögn | Numerical Data'!$1:$1))</f>
        <v>808.30042701720004</v>
      </c>
      <c r="Q715" s="978" cm="1">
        <f t="array" ref="Q715">INDEX('Talnagögn | Numerical Data'!$1:$1048576,_xlfn.XMATCH($B715,'Talnagögn | Numerical Data'!$B:$B),_xlfn.XMATCH($B$4,'Talnagögn | Numerical Data'!$1:$1))/INDEX('Talnagögn | Numerical Data'!$1:$1048576,_xlfn.XMATCH($A715,'Talnagögn | Numerical Data'!$A:$A),_xlfn.XMATCH($B$2,'Talnagögn | Numerical Data'!$1:$1))-1</f>
        <v>1.9044373283134486</v>
      </c>
      <c r="R715" s="980" cm="1">
        <f t="array" ref="R715">INDEX('Talnagögn | Numerical Data'!$1:$1048576,_xlfn.XMATCH($B715,'Talnagögn | Numerical Data'!$B:$B),_xlfn.XMATCH($B$5,'Talnagögn | Numerical Data'!$1:$1))-INDEX('Talnagögn | Numerical Data'!$1:$1048576,_xlfn.XMATCH($A715,'Talnagögn | Numerical Data'!$A:$A),_xlfn.XMATCH($B$1,'Talnagögn | Numerical Data'!$1:$1))</f>
        <v>1178.1032540833332</v>
      </c>
      <c r="S715" s="979" cm="1">
        <f t="array" ref="S715">INDEX('Talnagögn | Numerical Data'!$1:$1048576,_xlfn.XMATCH($B715,'Talnagögn | Numerical Data'!$B:$B),_xlfn.XMATCH($B$5,'Talnagögn | Numerical Data'!$1:$1))/INDEX('Talnagögn | Numerical Data'!$1:$1048576,_xlfn.XMATCH($A715,'Talnagögn | Numerical Data'!$A:$A),_xlfn.XMATCH($B$1,'Talnagögn | Numerical Data'!$1:$1))-1</f>
        <v>5.3281469304067333</v>
      </c>
      <c r="U715" s="981"/>
      <c r="X715" s="981"/>
      <c r="AD715" s="762"/>
      <c r="AG715" s="977" t="str">
        <f>'Talnagögn | Numerical Data'!$E$216</f>
        <v>International Aviation</v>
      </c>
      <c r="AH715" s="996" cm="1">
        <f t="array" ref="AH715">INDEX('Talnagögn | Numerical Data'!$1:$1048576,_xlfn.XMATCH($A715,'Talnagögn | Numerical Data'!$A:$A),_xlfn.XMATCH($A$1,'Talnagögn | Numerical Data'!$1:$1))</f>
        <v>1007.0566484977654</v>
      </c>
      <c r="AI715" s="987">
        <f>AH715/$F$717</f>
        <v>0.75688906921224752</v>
      </c>
      <c r="AJ715" s="980" cm="1">
        <f t="array" ref="AJ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Data'!$A:$A),_xlfn.XMATCH($B$3,'Talnagögn | Numerical Data'!$1:$1))</f>
        <v>39.403889685744957</v>
      </c>
      <c r="AK715" s="1067" cm="1">
        <f t="array" ref="AK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Data'!$A:$A),_xlfn.XMATCH($B$3,'Talnagögn | Numerical Data'!$1:$1))-1</f>
        <v>4.0721105093650234E-2</v>
      </c>
      <c r="AL715" s="980" cm="1">
        <f t="array" ref="AL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Data'!$A:$A),_xlfn.XMATCH($B$2,'Talnagögn | Numerical Data'!$1:$1))</f>
        <v>582.62660031496534</v>
      </c>
      <c r="AM715" s="987" cm="1">
        <f t="array" ref="AM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Data'!$A:$A),_xlfn.XMATCH($B$2,'Talnagögn | Numerical Data'!$1:$1))-1</f>
        <v>1.3727270319561136</v>
      </c>
      <c r="AN715" s="980" cm="1">
        <f t="array" ref="AN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Data'!$A:$A),_xlfn.XMATCH($B$1,'Talnagögn | Numerical Data'!$1:$1))</f>
        <v>785.94727042109878</v>
      </c>
      <c r="AO715" s="979" cm="1">
        <f t="array" ref="AO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Data'!$A:$A),_xlfn.XMATCH($B$1,'Talnagögn | Numerical Data'!$1:$1))-1</f>
        <v>3.5545632539773253</v>
      </c>
      <c r="AP715" s="397"/>
      <c r="AQ715" s="977" t="str">
        <f>'Talnagögn | Numerical Data'!$E$216</f>
        <v>International Aviation</v>
      </c>
      <c r="AR715" s="980" cm="1">
        <f t="array" ref="AR715">INDEX('Talnagögn | Numerical Data'!$1:$1048576,_xlfn.XMATCH($B715,'Talnagögn | Numerical Data'!$B:$B),_xlfn.XMATCH($B$4,'Talnagögn | Numerical Data'!$1:$1))-INDEX('Talnagögn | Numerical Data'!$1:$1048576,_xlfn.XMATCH($A715,'Talnagögn | Numerical Data'!$A:$A),_xlfn.XMATCH($B$2,'Talnagögn | Numerical Data'!$1:$1))</f>
        <v>808.30042701720004</v>
      </c>
      <c r="AS715" s="978" cm="1">
        <f t="array" ref="AS715">INDEX('Talnagögn | Numerical Data'!$1:$1048576,_xlfn.XMATCH($B715,'Talnagögn | Numerical Data'!$B:$B),_xlfn.XMATCH($B$4,'Talnagögn | Numerical Data'!$1:$1))/INDEX('Talnagögn | Numerical Data'!$1:$1048576,_xlfn.XMATCH($A715,'Talnagögn | Numerical Data'!$A:$A),_xlfn.XMATCH($B$2,'Talnagögn | Numerical Data'!$1:$1))-1</f>
        <v>1.9044373283134486</v>
      </c>
      <c r="AT715" s="980" cm="1">
        <f t="array" ref="AT715">INDEX('Talnagögn | Numerical Data'!$1:$1048576,_xlfn.XMATCH($B715,'Talnagögn | Numerical Data'!$B:$B),_xlfn.XMATCH($B$5,'Talnagögn | Numerical Data'!$1:$1))-INDEX('Talnagögn | Numerical Data'!$1:$1048576,_xlfn.XMATCH($A715,'Talnagögn | Numerical Data'!$A:$A),_xlfn.XMATCH($B$1,'Talnagögn | Numerical Data'!$1:$1))</f>
        <v>1178.1032540833332</v>
      </c>
      <c r="AU715" s="978" cm="1">
        <f t="array" ref="AU715">INDEX('Talnagögn | Numerical Data'!$1:$1048576,_xlfn.XMATCH($B715,'Talnagögn | Numerical Data'!$B:$B),_xlfn.XMATCH($B$5,'Talnagögn | Numerical Data'!$1:$1))/INDEX('Talnagögn | Numerical Data'!$1:$1048576,_xlfn.XMATCH($A715,'Talnagögn | Numerical Data'!$A:$A),_xlfn.XMATCH($B$1,'Talnagögn | Numerical Data'!$1:$1))-1</f>
        <v>5.3281469304067333</v>
      </c>
      <c r="AV715" s="980" t="e" cm="1">
        <f t="array" ref="AV715">INDEX('Talnagögn | Numerical Data'!$1:$1048576,_xlfn.XMATCH($C715,'Talnagögn | Numerical Data'!$B:$B),_xlfn.XMATCH($B$4,'Talnagögn | Numerical Data'!$1:$1))-INDEX('Talnagögn | Numerical Data'!$1:$1048576,_xlfn.XMATCH($A715,'Talnagögn | Numerical Data'!$A:$A),_xlfn.XMATCH($B$2,'Talnagögn | Numerical Data'!$1:$1))</f>
        <v>#N/A</v>
      </c>
      <c r="AW715" s="979" t="e" cm="1">
        <f t="array" ref="AW715">INDEX('Talnagögn | Numerical Data'!$1:$1048576,_xlfn.XMATCH($C715,'Talnagögn | Numerical Data'!$B:$B),_xlfn.XMATCH($B$4,'Talnagögn | Numerical Data'!$1:$1))/INDEX('Talnagögn | Numerical Data'!$1:$1048576,_xlfn.XMATCH($A715,'Talnagögn | Numerical Data'!$A:$A),_xlfn.XMATCH($B$2,'Talnagögn | Numerical Data'!$1:$1))-1</f>
        <v>#N/A</v>
      </c>
      <c r="AY715" s="981"/>
      <c r="BB715" s="981"/>
    </row>
    <row r="716" spans="1:55" s="40" customFormat="1" x14ac:dyDescent="0.4">
      <c r="A716" s="50" t="s">
        <v>85</v>
      </c>
      <c r="B716" s="50" t="s">
        <v>345</v>
      </c>
      <c r="C716" s="50" t="s">
        <v>348</v>
      </c>
      <c r="D716" s="245" t="s">
        <v>48</v>
      </c>
      <c r="E716" s="988" t="str">
        <f>'Talnagögn | Numerical Data'!$D$217</f>
        <v>Alþjóðasiglingar</v>
      </c>
      <c r="F716" s="997" cm="1">
        <f t="array" ref="F716">INDEX('Talnagögn | Numerical Data'!$1:$1048576,_xlfn.XMATCH($A716,'Talnagögn | Numerical Data'!$A:$A),_xlfn.XMATCH($A$1,'Talnagögn | Numerical Data'!$1:$1))</f>
        <v>323.46414967664396</v>
      </c>
      <c r="G716" s="989">
        <f>F716/$F$717</f>
        <v>0.24311093078775239</v>
      </c>
      <c r="H716" s="1065" cm="1">
        <f t="array" ref="H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Data'!$A:$A),_xlfn.XMATCH($B$3,'Talnagögn | Numerical Data'!$1:$1))</f>
        <v>-9.1708945456871902</v>
      </c>
      <c r="I716" s="1066" cm="1">
        <f t="array" ref="I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Data'!$A:$A),_xlfn.XMATCH($B$3,'Talnagögn | Numerical Data'!$1:$1))-1</f>
        <v>-2.7570440051281619E-2</v>
      </c>
      <c r="J716" s="997" cm="1">
        <f t="array" ref="J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Data'!$A:$A),_xlfn.XMATCH($B$2,'Talnagögn | Numerical Data'!$1:$1))</f>
        <v>321.71133612823269</v>
      </c>
      <c r="K716" s="989" cm="1">
        <f t="array" ref="K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Data'!$A:$A),_xlfn.XMATCH($B$2,'Talnagögn | Numerical Data'!$1:$1))-1</f>
        <v>183.53996431613209</v>
      </c>
      <c r="L716" s="997" cm="1">
        <f t="array" ref="L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Data'!$A:$A),_xlfn.XMATCH($B$1,'Talnagögn | Numerical Data'!$1:$1))</f>
        <v>295.38522467930653</v>
      </c>
      <c r="M716" s="990" cm="1">
        <f t="array" ref="M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Data'!$A:$A),_xlfn.XMATCH($B$1,'Talnagögn | Numerical Data'!$1:$1))-1</f>
        <v>10.519819569563884</v>
      </c>
      <c r="O716" s="988" t="str">
        <f>'Talnagögn | Numerical Data'!$D$217</f>
        <v>Alþjóðasiglingar</v>
      </c>
      <c r="P716" s="982" cm="1">
        <f t="array" ref="P716">INDEX('Talnagögn | Numerical Data'!$1:$1048576,_xlfn.XMATCH($B716,'Talnagögn | Numerical Data'!$B:$B),_xlfn.XMATCH($B$4,'Talnagögn | Numerical Data'!$1:$1))-INDEX('Talnagögn | Numerical Data'!$1:$1048576,_xlfn.XMATCH($A716,'Talnagögn | Numerical Data'!$A:$A),_xlfn.XMATCH($B$2,'Talnagögn | Numerical Data'!$1:$1))</f>
        <v>381.48659384385445</v>
      </c>
      <c r="Q716" s="976" cm="1">
        <f t="array" ref="Q716">INDEX('Talnagögn | Numerical Data'!$1:$1048576,_xlfn.XMATCH($B716,'Talnagögn | Numerical Data'!$B:$B),_xlfn.XMATCH($B$4,'Talnagögn | Numerical Data'!$1:$1))/INDEX('Talnagögn | Numerical Data'!$1:$1048576,_xlfn.XMATCH($A716,'Talnagögn | Numerical Data'!$A:$A),_xlfn.XMATCH($B$2,'Talnagögn | Numerical Data'!$1:$1))-1</f>
        <v>217.64242648034929</v>
      </c>
      <c r="R716" s="982" cm="1">
        <f t="array" ref="R716">INDEX('Talnagögn | Numerical Data'!$1:$1048576,_xlfn.XMATCH($B716,'Talnagögn | Numerical Data'!$B:$B),_xlfn.XMATCH($B$5,'Talnagögn | Numerical Data'!$1:$1))-INDEX('Talnagögn | Numerical Data'!$1:$1048576,_xlfn.XMATCH($A716,'Talnagögn | Numerical Data'!$A:$A),_xlfn.XMATCH($B$1,'Talnagögn | Numerical Data'!$1:$1))</f>
        <v>72.309669767532455</v>
      </c>
      <c r="S716" s="1130" cm="1">
        <f t="array" ref="S716">INDEX('Talnagögn | Numerical Data'!$1:$1048576,_xlfn.XMATCH($B716,'Talnagögn | Numerical Data'!$B:$B),_xlfn.XMATCH($B$5,'Talnagögn | Numerical Data'!$1:$1))/INDEX('Talnagögn | Numerical Data'!$1:$1048576,_xlfn.XMATCH($A716,'Talnagögn | Numerical Data'!$A:$A),_xlfn.XMATCH($B$1,'Talnagögn | Numerical Data'!$1:$1))-1</f>
        <v>2.5752292786988549</v>
      </c>
      <c r="U716" s="994"/>
      <c r="X716" s="994"/>
      <c r="AD716" s="779"/>
      <c r="AG716" s="975" t="str">
        <f>'Talnagögn | Numerical Data'!$E$217</f>
        <v>International Navigation</v>
      </c>
      <c r="AH716" s="997" cm="1">
        <f t="array" ref="AH716">INDEX('Talnagögn | Numerical Data'!$1:$1048576,_xlfn.XMATCH($A716,'Talnagögn | Numerical Data'!$A:$A),_xlfn.XMATCH($A$1,'Talnagögn | Numerical Data'!$1:$1))</f>
        <v>323.46414967664396</v>
      </c>
      <c r="AI716" s="989">
        <f>AH716/$F$717</f>
        <v>0.24311093078775239</v>
      </c>
      <c r="AJ716" s="1065" cm="1">
        <f t="array" ref="AJ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Data'!$A:$A),_xlfn.XMATCH($B$3,'Talnagögn | Numerical Data'!$1:$1))</f>
        <v>-9.1708945456871902</v>
      </c>
      <c r="AK716" s="1066" cm="1">
        <f t="array" ref="AK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Data'!$A:$A),_xlfn.XMATCH($B$3,'Talnagögn | Numerical Data'!$1:$1))-1</f>
        <v>-2.7570440051281619E-2</v>
      </c>
      <c r="AL716" s="997" cm="1">
        <f t="array" ref="AL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Data'!$A:$A),_xlfn.XMATCH($B$2,'Talnagögn | Numerical Data'!$1:$1))</f>
        <v>321.71133612823269</v>
      </c>
      <c r="AM716" s="989" cm="1">
        <f t="array" ref="AM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Data'!$A:$A),_xlfn.XMATCH($B$2,'Talnagögn | Numerical Data'!$1:$1))-1</f>
        <v>183.53996431613209</v>
      </c>
      <c r="AN716" s="997" cm="1">
        <f t="array" ref="AN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Data'!$A:$A),_xlfn.XMATCH($B$1,'Talnagögn | Numerical Data'!$1:$1))</f>
        <v>295.38522467930653</v>
      </c>
      <c r="AO716" s="990" cm="1">
        <f t="array" ref="AO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Data'!$A:$A),_xlfn.XMATCH($B$1,'Talnagögn | Numerical Data'!$1:$1))-1</f>
        <v>10.519819569563884</v>
      </c>
      <c r="AP716" s="397"/>
      <c r="AQ716" s="975" t="str">
        <f>'Talnagögn | Numerical Data'!$E$217</f>
        <v>International Navigation</v>
      </c>
      <c r="AR716" s="982" cm="1">
        <f t="array" ref="AR716">INDEX('Talnagögn | Numerical Data'!$1:$1048576,_xlfn.XMATCH($B716,'Talnagögn | Numerical Data'!$B:$B),_xlfn.XMATCH($B$4,'Talnagögn | Numerical Data'!$1:$1))-INDEX('Talnagögn | Numerical Data'!$1:$1048576,_xlfn.XMATCH($A716,'Talnagögn | Numerical Data'!$A:$A),_xlfn.XMATCH($B$2,'Talnagögn | Numerical Data'!$1:$1))</f>
        <v>381.48659384385445</v>
      </c>
      <c r="AS716" s="976" cm="1">
        <f t="array" ref="AS716">INDEX('Talnagögn | Numerical Data'!$1:$1048576,_xlfn.XMATCH($B716,'Talnagögn | Numerical Data'!$B:$B),_xlfn.XMATCH($B$4,'Talnagögn | Numerical Data'!$1:$1))/INDEX('Talnagögn | Numerical Data'!$1:$1048576,_xlfn.XMATCH($A716,'Talnagögn | Numerical Data'!$A:$A),_xlfn.XMATCH($B$2,'Talnagögn | Numerical Data'!$1:$1))-1</f>
        <v>217.64242648034929</v>
      </c>
      <c r="AT716" s="982" cm="1">
        <f t="array" ref="AT716">INDEX('Talnagögn | Numerical Data'!$1:$1048576,_xlfn.XMATCH($B716,'Talnagögn | Numerical Data'!$B:$B),_xlfn.XMATCH($B$5,'Talnagögn | Numerical Data'!$1:$1))-INDEX('Talnagögn | Numerical Data'!$1:$1048576,_xlfn.XMATCH($A716,'Talnagögn | Numerical Data'!$A:$A),_xlfn.XMATCH($B$1,'Talnagögn | Numerical Data'!$1:$1))</f>
        <v>72.309669767532455</v>
      </c>
      <c r="AU716" s="976" cm="1">
        <f t="array" ref="AU716">INDEX('Talnagögn | Numerical Data'!$1:$1048576,_xlfn.XMATCH($B716,'Talnagögn | Numerical Data'!$B:$B),_xlfn.XMATCH($B$5,'Talnagögn | Numerical Data'!$1:$1))/INDEX('Talnagögn | Numerical Data'!$1:$1048576,_xlfn.XMATCH($A716,'Talnagögn | Numerical Data'!$A:$A),_xlfn.XMATCH($B$1,'Talnagögn | Numerical Data'!$1:$1))-1</f>
        <v>2.5752292786988549</v>
      </c>
      <c r="AV716" s="899" t="e" cm="1">
        <f t="array" ref="AV716">INDEX('Talnagögn | Numerical Data'!$1:$1048576,_xlfn.XMATCH($C716,'Talnagögn | Numerical Data'!$B:$B),_xlfn.XMATCH($B$4,'Talnagögn | Numerical Data'!$1:$1))-INDEX('Talnagögn | Numerical Data'!$1:$1048576,_xlfn.XMATCH($A716,'Talnagögn | Numerical Data'!$A:$A),_xlfn.XMATCH($B$2,'Talnagögn | Numerical Data'!$1:$1))</f>
        <v>#N/A</v>
      </c>
      <c r="AW716" s="365" t="e" cm="1">
        <f t="array" ref="AW716">INDEX('Talnagögn | Numerical Data'!$1:$1048576,_xlfn.XMATCH($C716,'Talnagögn | Numerical Data'!$B:$B),_xlfn.XMATCH($B$4,'Talnagögn | Numerical Data'!$1:$1))/INDEX('Talnagögn | Numerical Data'!$1:$1048576,_xlfn.XMATCH($A716,'Talnagögn | Numerical Data'!$A:$A),_xlfn.XMATCH($B$2,'Talnagögn | Numerical Data'!$1:$1))-1</f>
        <v>#N/A</v>
      </c>
      <c r="AY716" s="994"/>
      <c r="BB716" s="994"/>
    </row>
    <row r="717" spans="1:55" ht="28.5" customHeight="1" x14ac:dyDescent="0.4">
      <c r="A717" s="50" t="s">
        <v>216</v>
      </c>
      <c r="B717" s="50" t="s">
        <v>346</v>
      </c>
      <c r="C717" s="50" t="s">
        <v>349</v>
      </c>
      <c r="D717" s="245" t="s">
        <v>48</v>
      </c>
      <c r="E717" s="991" t="s">
        <v>12</v>
      </c>
      <c r="F717" s="998" cm="1">
        <f t="array" ref="F717">INDEX('Talnagögn | Numerical Data'!$1:$1048576,_xlfn.XMATCH($A717,'Talnagögn | Numerical Data'!$A:$A),_xlfn.XMATCH($A$1,'Talnagögn | Numerical Data'!$1:$1))</f>
        <v>1330.5207981744095</v>
      </c>
      <c r="G717" s="992">
        <f>SUM(G715:G716)</f>
        <v>0.99999999999999989</v>
      </c>
      <c r="H717" s="998" cm="1">
        <f t="array" ref="H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Data'!$A:$A),_xlfn.XMATCH($B$3,'Talnagögn | Numerical Data'!$1:$1))</f>
        <v>30.232995140057938</v>
      </c>
      <c r="I717" s="1068" cm="1">
        <f t="array" ref="I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Data'!$A:$A),_xlfn.XMATCH($B$3,'Talnagögn | Numerical Data'!$1:$1))-1</f>
        <v>2.3251002639189666E-2</v>
      </c>
      <c r="J717" s="998" cm="1">
        <f t="array" ref="J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Data'!$A:$A),_xlfn.XMATCH($B$2,'Talnagögn | Numerical Data'!$1:$1))</f>
        <v>904.33793644319826</v>
      </c>
      <c r="K717" s="992" cm="1">
        <f t="array" ref="K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Data'!$A:$A),_xlfn.XMATCH($B$2,'Talnagögn | Numerical Data'!$1:$1))-1</f>
        <v>2.121948153357593</v>
      </c>
      <c r="L717" s="998" cm="1">
        <f t="array" ref="L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Data'!$A:$A),_xlfn.XMATCH($B$1,'Talnagögn | Numerical Data'!$1:$1))</f>
        <v>1081.3324951004054</v>
      </c>
      <c r="M717" s="993" cm="1">
        <f t="array" ref="M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Data'!$A:$A),_xlfn.XMATCH($B$1,'Talnagögn | Numerical Data'!$1:$1))-1</f>
        <v>4.3394191531505024</v>
      </c>
      <c r="N717" s="8"/>
      <c r="O717" s="991" t="s">
        <v>12</v>
      </c>
      <c r="P717" s="983" cm="1">
        <f t="array" ref="P717">INDEX('Talnagögn | Numerical Data'!$1:$1048576,_xlfn.XMATCH($B717,'Talnagögn | Numerical Data'!$B:$B),_xlfn.XMATCH($B$4,'Talnagögn | Numerical Data'!$1:$1))-INDEX('Talnagögn | Numerical Data'!$1:$1048576,_xlfn.XMATCH($A717,'Talnagögn | Numerical Data'!$A:$A),_xlfn.XMATCH($B$2,'Talnagögn | Numerical Data'!$1:$1))</f>
        <v>1189.7870208610543</v>
      </c>
      <c r="Q717" s="973" cm="1">
        <f t="array" ref="Q717">INDEX('Talnagögn | Numerical Data'!$1:$1048576,_xlfn.XMATCH($B717,'Talnagögn | Numerical Data'!$B:$B),_xlfn.XMATCH($B$4,'Talnagögn | Numerical Data'!$1:$1))/INDEX('Talnagögn | Numerical Data'!$1:$1048576,_xlfn.XMATCH($A717,'Talnagögn | Numerical Data'!$A:$A),_xlfn.XMATCH($B$2,'Talnagögn | Numerical Data'!$1:$1))-1</f>
        <v>2.7917289213085237</v>
      </c>
      <c r="R717" s="983" cm="1">
        <f t="array" ref="R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Data'!$A:$A),_xlfn.XMATCH($B$1,'Talnagögn | Numerical Data'!$1:$1))</f>
        <v>1250.4129238508656</v>
      </c>
      <c r="S717" s="974" cm="1">
        <f t="array" ref="S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Data'!$A:$A),_xlfn.XMATCH($B$1,'Talnagögn | Numerical Data'!$1:$1))-1</f>
        <v>5.0179438939375789</v>
      </c>
      <c r="T717" s="8"/>
      <c r="U717" s="995"/>
      <c r="V717" s="8"/>
      <c r="W717" s="8"/>
      <c r="X717" s="995"/>
      <c r="Y717" s="8"/>
      <c r="Z717" s="8"/>
      <c r="AA717" s="8"/>
      <c r="AB717" s="8"/>
      <c r="AC717" s="8"/>
      <c r="AG717" s="972" t="s">
        <v>164</v>
      </c>
      <c r="AH717" s="998" cm="1">
        <f t="array" ref="AH717">INDEX('Talnagögn | Numerical Data'!$1:$1048576,_xlfn.XMATCH($A717,'Talnagögn | Numerical Data'!$A:$A),_xlfn.XMATCH($A$1,'Talnagögn | Numerical Data'!$1:$1))</f>
        <v>1330.5207981744095</v>
      </c>
      <c r="AI717" s="992">
        <f>SUM(AI715:AI716)</f>
        <v>0.99999999999999989</v>
      </c>
      <c r="AJ717" s="998" cm="1">
        <f t="array" ref="AJ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Data'!$A:$A),_xlfn.XMATCH($B$3,'Talnagögn | Numerical Data'!$1:$1))</f>
        <v>30.232995140057938</v>
      </c>
      <c r="AK717" s="1068" cm="1">
        <f t="array" ref="AK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Data'!$A:$A),_xlfn.XMATCH($B$3,'Talnagögn | Numerical Data'!$1:$1))-1</f>
        <v>2.3251002639189666E-2</v>
      </c>
      <c r="AL717" s="998" cm="1">
        <f t="array" ref="AL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Data'!$A:$A),_xlfn.XMATCH($B$2,'Talnagögn | Numerical Data'!$1:$1))</f>
        <v>904.33793644319826</v>
      </c>
      <c r="AM717" s="992" cm="1">
        <f t="array" ref="AM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Data'!$A:$A),_xlfn.XMATCH($B$2,'Talnagögn | Numerical Data'!$1:$1))-1</f>
        <v>2.121948153357593</v>
      </c>
      <c r="AN717" s="998" cm="1">
        <f t="array" ref="AN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Data'!$A:$A),_xlfn.XMATCH($B$1,'Talnagögn | Numerical Data'!$1:$1))</f>
        <v>1081.3324951004054</v>
      </c>
      <c r="AO717" s="993" cm="1">
        <f t="array" ref="AO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Data'!$A:$A),_xlfn.XMATCH($B$1,'Talnagögn | Numerical Data'!$1:$1))-1</f>
        <v>4.3394191531505024</v>
      </c>
      <c r="AP717" s="397"/>
      <c r="AQ717" s="972" t="s">
        <v>164</v>
      </c>
      <c r="AR717" s="983" cm="1">
        <f t="array" ref="AR717">INDEX('Talnagögn | Numerical Data'!$1:$1048576,_xlfn.XMATCH($B717,'Talnagögn | Numerical Data'!$B:$B),_xlfn.XMATCH($B$4,'Talnagögn | Numerical Data'!$1:$1))-INDEX('Talnagögn | Numerical Data'!$1:$1048576,_xlfn.XMATCH($A717,'Talnagögn | Numerical Data'!$A:$A),_xlfn.XMATCH($B$2,'Talnagögn | Numerical Data'!$1:$1))</f>
        <v>1189.7870208610543</v>
      </c>
      <c r="AS717" s="973" cm="1">
        <f t="array" ref="AS717">INDEX('Talnagögn | Numerical Data'!$1:$1048576,_xlfn.XMATCH($B717,'Talnagögn | Numerical Data'!$B:$B),_xlfn.XMATCH($B$4,'Talnagögn | Numerical Data'!$1:$1))/INDEX('Talnagögn | Numerical Data'!$1:$1048576,_xlfn.XMATCH($A717,'Talnagögn | Numerical Data'!$A:$A),_xlfn.XMATCH($B$2,'Talnagögn | Numerical Data'!$1:$1))-1</f>
        <v>2.7917289213085237</v>
      </c>
      <c r="AT717" s="983" cm="1">
        <f t="array" ref="AT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Data'!$A:$A),_xlfn.XMATCH($B$1,'Talnagögn | Numerical Data'!$1:$1))</f>
        <v>1250.4129238508656</v>
      </c>
      <c r="AU717" s="973" cm="1">
        <f t="array" ref="AU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Data'!$A:$A),_xlfn.XMATCH($B$1,'Talnagögn | Numerical Data'!$1:$1))-1</f>
        <v>5.0179438939375789</v>
      </c>
      <c r="AV717" s="983" t="e" cm="1">
        <f t="array" ref="AV717">INDEX('Talnagögn | Numerical Data'!$1:$1048576,_xlfn.XMATCH($C717,'Talnagögn | Numerical Data'!$B:$B),_xlfn.XMATCH($B$4,'Talnagögn | Numerical Data'!$1:$1))-INDEX('Talnagögn | Numerical Data'!$1:$1048576,_xlfn.XMATCH($A717,'Talnagögn | Numerical Data'!$A:$A),_xlfn.XMATCH($B$2,'Talnagögn | Numerical Data'!$1:$1))</f>
        <v>#N/A</v>
      </c>
      <c r="AW717" s="974" t="e" cm="1">
        <f t="array" ref="AW717">INDEX('Talnagögn | Numerical Data'!$1:$1048576,_xlfn.XMATCH($C717,'Talnagögn | Numerical Data'!$B:$B),_xlfn.XMATCH($B$4,'Talnagögn | Numerical Data'!$1:$1))/INDEX('Talnagögn | Numerical Data'!$1:$1048576,_xlfn.XMATCH($A717,'Talnagögn | Numerical Data'!$A:$A),_xlfn.XMATCH($B$2,'Talnagögn | Numerical Data'!$1:$1))-1</f>
        <v>#N/A</v>
      </c>
      <c r="AX717" s="8"/>
      <c r="AY717" s="995"/>
      <c r="AZ717" s="8"/>
      <c r="BA717" s="8"/>
      <c r="BB717" s="995"/>
      <c r="BC717" s="8"/>
    </row>
    <row r="718" spans="1:55" s="40" customFormat="1" x14ac:dyDescent="0.4">
      <c r="A718" s="1035" t="str">
        <f>"ALÞJÓÐA-SAMGÖNGUR "&amp;$A$1</f>
        <v>ALÞJÓÐA-SAMGÖNGUR 2024</v>
      </c>
      <c r="B718" s="1035" t="str">
        <f>"INTERNATIONAL TRANSPORTATION "&amp;$A$1</f>
        <v>INTERNATIONAL TRANSPORTATION 2024</v>
      </c>
      <c r="C718" s="1038" t="s">
        <v>48</v>
      </c>
      <c r="D718" s="245" t="s">
        <v>48</v>
      </c>
      <c r="F718" s="397"/>
      <c r="G718" s="397"/>
      <c r="H718" s="240"/>
      <c r="I718" s="397"/>
      <c r="J718" s="397"/>
      <c r="K718" s="397"/>
      <c r="L718" s="397"/>
      <c r="M718" s="397"/>
      <c r="N718" s="397"/>
      <c r="O718" s="397"/>
      <c r="P718" s="397"/>
      <c r="Q718" s="397"/>
      <c r="R718" s="397"/>
      <c r="S718" s="397"/>
      <c r="T718" s="397"/>
      <c r="U718" s="397"/>
      <c r="V718" s="397"/>
      <c r="W718" s="397"/>
      <c r="X718" s="397"/>
      <c r="Y718" s="397"/>
      <c r="Z718" s="397"/>
      <c r="AA718" s="397"/>
      <c r="AB718" s="397"/>
      <c r="AC718" s="397"/>
      <c r="AD718" s="762"/>
      <c r="AH718" s="397"/>
      <c r="AI718" s="397"/>
      <c r="AJ718" s="397"/>
      <c r="AK718" s="397"/>
      <c r="AL718" s="397"/>
      <c r="AM718" s="397"/>
      <c r="AN718" s="397"/>
      <c r="AO718" s="397"/>
      <c r="AP718" s="397"/>
      <c r="AQ718" s="397"/>
      <c r="AR718" s="397"/>
      <c r="AS718" s="397"/>
      <c r="AT718" s="397"/>
      <c r="AU718" s="397"/>
      <c r="AV718" s="397"/>
      <c r="AW718" s="397"/>
      <c r="AX718" s="397"/>
      <c r="AY718" s="397"/>
      <c r="AZ718" s="397"/>
      <c r="BA718" s="397"/>
      <c r="BB718" s="397"/>
      <c r="BC718" s="397"/>
    </row>
    <row r="719" spans="1:55" s="40" customFormat="1" x14ac:dyDescent="0.4">
      <c r="A719" s="50"/>
      <c r="B719" s="1038" t="s">
        <v>48</v>
      </c>
      <c r="C719" s="1038"/>
      <c r="D719" s="245" t="s">
        <v>48</v>
      </c>
      <c r="F719" s="397"/>
      <c r="G719" s="397"/>
      <c r="H719" s="240"/>
      <c r="I719" s="397"/>
      <c r="J719" s="397"/>
      <c r="K719" s="397"/>
      <c r="L719" s="397"/>
      <c r="M719" s="397"/>
      <c r="N719" s="397"/>
      <c r="O719" s="397"/>
      <c r="P719" s="397"/>
      <c r="Q719" s="397"/>
      <c r="R719" s="397"/>
      <c r="S719" s="397"/>
      <c r="T719" s="397"/>
      <c r="U719" s="397"/>
      <c r="V719" s="397"/>
      <c r="W719" s="397"/>
      <c r="X719" s="397"/>
      <c r="Y719" s="397"/>
      <c r="Z719" s="397"/>
      <c r="AA719" s="397"/>
      <c r="AB719" s="397"/>
      <c r="AC719" s="397"/>
      <c r="AD719" s="762"/>
      <c r="AH719" s="397"/>
      <c r="AI719" s="397"/>
      <c r="AJ719" s="397"/>
      <c r="AK719" s="397"/>
      <c r="AL719" s="397"/>
      <c r="AM719" s="397"/>
      <c r="AN719" s="397"/>
      <c r="AO719" s="397"/>
      <c r="AP719" s="397"/>
      <c r="AQ719" s="397"/>
      <c r="AR719" s="397"/>
      <c r="AS719" s="397"/>
      <c r="AT719" s="397"/>
      <c r="AU719" s="397"/>
      <c r="AV719" s="397"/>
      <c r="AW719" s="397"/>
      <c r="AX719" s="397"/>
      <c r="AY719" s="397"/>
      <c r="AZ719" s="397"/>
      <c r="BA719" s="397"/>
      <c r="BB719" s="397"/>
      <c r="BC719" s="397"/>
    </row>
    <row r="720" spans="1:55" s="40" customFormat="1" x14ac:dyDescent="0.4">
      <c r="A720" s="50"/>
      <c r="B720" s="1038"/>
      <c r="C720" s="1038"/>
      <c r="D720" s="245" t="s">
        <v>48</v>
      </c>
      <c r="F720" s="397"/>
      <c r="G720" s="397"/>
      <c r="H720" s="240"/>
      <c r="I720" s="397"/>
      <c r="J720" s="397"/>
      <c r="K720" s="397"/>
      <c r="L720" s="397"/>
      <c r="M720" s="397"/>
      <c r="N720" s="397"/>
      <c r="O720" s="397"/>
      <c r="P720" s="397"/>
      <c r="Q720" s="397"/>
      <c r="R720" s="397"/>
      <c r="S720" s="397"/>
      <c r="T720" s="397"/>
      <c r="U720" s="397"/>
      <c r="V720" s="397"/>
      <c r="W720" s="397"/>
      <c r="X720" s="397"/>
      <c r="Y720" s="397"/>
      <c r="Z720" s="397"/>
      <c r="AA720" s="397"/>
      <c r="AB720" s="397"/>
      <c r="AC720" s="397"/>
      <c r="AD720" s="762"/>
      <c r="AH720" s="397"/>
      <c r="AI720" s="397"/>
      <c r="AJ720" s="397"/>
      <c r="AK720" s="397"/>
      <c r="AL720" s="397"/>
      <c r="AM720" s="397"/>
      <c r="AN720" s="397"/>
      <c r="AO720" s="397"/>
      <c r="AP720" s="397"/>
      <c r="AQ720" s="397"/>
      <c r="AR720" s="397"/>
      <c r="AS720" s="397"/>
      <c r="AT720" s="397"/>
      <c r="AU720" s="397"/>
      <c r="AV720" s="397"/>
      <c r="AW720" s="397"/>
      <c r="AX720" s="397"/>
      <c r="AY720" s="397"/>
      <c r="AZ720" s="397"/>
      <c r="BA720" s="397"/>
      <c r="BB720" s="397"/>
      <c r="BC720" s="397"/>
    </row>
    <row r="721" spans="1:55" s="40" customFormat="1" x14ac:dyDescent="0.4">
      <c r="A721" s="50"/>
      <c r="B721" s="1038"/>
      <c r="C721" s="1038"/>
      <c r="D721" s="245" t="s">
        <v>48</v>
      </c>
      <c r="F721" s="397"/>
      <c r="G721" s="397"/>
      <c r="H721" s="240"/>
      <c r="I721" s="397"/>
      <c r="J721" s="397"/>
      <c r="K721" s="397"/>
      <c r="L721" s="397"/>
      <c r="M721" s="397"/>
      <c r="N721" s="397"/>
      <c r="O721" s="397"/>
      <c r="P721" s="397"/>
      <c r="Q721" s="397"/>
      <c r="R721" s="397"/>
      <c r="S721" s="397"/>
      <c r="T721" s="397"/>
      <c r="U721" s="397"/>
      <c r="V721" s="397"/>
      <c r="W721" s="397"/>
      <c r="X721" s="397"/>
      <c r="Y721" s="397"/>
      <c r="Z721" s="397"/>
      <c r="AA721" s="397"/>
      <c r="AB721" s="397"/>
      <c r="AC721" s="397"/>
      <c r="AD721" s="762"/>
      <c r="AH721" s="397"/>
      <c r="AI721" s="397"/>
      <c r="AJ721" s="397"/>
      <c r="AK721" s="397"/>
      <c r="AL721" s="397"/>
      <c r="AM721" s="397"/>
      <c r="AN721" s="397"/>
      <c r="AO721" s="397"/>
      <c r="AP721" s="397"/>
      <c r="AQ721" s="397"/>
      <c r="AR721" s="397"/>
      <c r="AS721" s="397"/>
      <c r="AT721" s="397"/>
      <c r="AU721" s="397"/>
      <c r="AV721" s="397"/>
      <c r="AW721" s="397"/>
      <c r="AX721" s="397"/>
      <c r="AY721" s="397"/>
      <c r="AZ721" s="397"/>
      <c r="BA721" s="397"/>
      <c r="BB721" s="397"/>
      <c r="BC721" s="397"/>
    </row>
    <row r="722" spans="1:55" s="40" customFormat="1" x14ac:dyDescent="0.4">
      <c r="A722" s="50"/>
      <c r="B722" s="1038"/>
      <c r="C722" s="1038"/>
      <c r="D722" s="245" t="s">
        <v>48</v>
      </c>
      <c r="F722" s="397"/>
      <c r="G722" s="397"/>
      <c r="H722" s="240"/>
      <c r="I722" s="397"/>
      <c r="J722" s="397"/>
      <c r="K722" s="397"/>
      <c r="L722" s="397"/>
      <c r="M722" s="397"/>
      <c r="N722" s="397"/>
      <c r="O722" s="397"/>
      <c r="P722" s="397"/>
      <c r="Q722" s="397"/>
      <c r="R722" s="397"/>
      <c r="S722" s="397"/>
      <c r="T722" s="397"/>
      <c r="U722" s="397"/>
      <c r="V722" s="397"/>
      <c r="W722" s="397"/>
      <c r="X722" s="397"/>
      <c r="Y722" s="397"/>
      <c r="Z722" s="397"/>
      <c r="AA722" s="397"/>
      <c r="AB722" s="397"/>
      <c r="AC722" s="397"/>
      <c r="AD722" s="762"/>
      <c r="AH722" s="397"/>
      <c r="AI722" s="397"/>
      <c r="AJ722" s="397"/>
      <c r="AK722" s="397"/>
      <c r="AL722" s="397"/>
      <c r="AM722" s="397"/>
      <c r="AN722" s="397"/>
      <c r="AO722" s="397"/>
      <c r="AP722" s="397"/>
      <c r="AQ722" s="397"/>
      <c r="AR722" s="397"/>
      <c r="AS722" s="397"/>
      <c r="AT722" s="397"/>
      <c r="AU722" s="397"/>
      <c r="AV722" s="397"/>
      <c r="AW722" s="397"/>
      <c r="AX722" s="397"/>
      <c r="AY722" s="397"/>
      <c r="AZ722" s="397"/>
      <c r="BA722" s="397"/>
      <c r="BB722" s="397"/>
      <c r="BC722" s="397"/>
    </row>
    <row r="723" spans="1:55" s="40" customFormat="1" x14ac:dyDescent="0.4">
      <c r="A723" s="50"/>
      <c r="B723" s="1038"/>
      <c r="C723" s="1038"/>
      <c r="D723" s="245" t="s">
        <v>48</v>
      </c>
      <c r="F723" s="397"/>
      <c r="G723" s="397"/>
      <c r="H723" s="240"/>
      <c r="I723" s="397"/>
      <c r="J723" s="397"/>
      <c r="K723" s="397"/>
      <c r="L723" s="397"/>
      <c r="M723" s="397"/>
      <c r="N723" s="397"/>
      <c r="O723" s="397"/>
      <c r="P723" s="397"/>
      <c r="Q723" s="397"/>
      <c r="R723" s="397"/>
      <c r="S723" s="397"/>
      <c r="T723" s="397"/>
      <c r="U723" s="397"/>
      <c r="V723" s="397"/>
      <c r="W723" s="397"/>
      <c r="X723" s="397"/>
      <c r="Y723" s="397"/>
      <c r="Z723" s="397"/>
      <c r="AA723" s="397"/>
      <c r="AB723" s="397"/>
      <c r="AC723" s="397"/>
      <c r="AD723" s="762"/>
      <c r="AH723" s="397"/>
      <c r="AI723" s="397"/>
      <c r="AJ723" s="397"/>
      <c r="AK723" s="397"/>
      <c r="AL723" s="397"/>
      <c r="AM723" s="397"/>
      <c r="AN723" s="397"/>
      <c r="AO723" s="397"/>
      <c r="AP723" s="397"/>
      <c r="AQ723" s="397"/>
      <c r="AR723" s="397"/>
      <c r="AS723" s="397"/>
      <c r="AT723" s="397"/>
      <c r="AU723" s="397"/>
      <c r="AV723" s="397"/>
      <c r="AW723" s="397"/>
      <c r="AX723" s="397"/>
      <c r="AY723" s="397"/>
      <c r="AZ723" s="397"/>
      <c r="BA723" s="397"/>
      <c r="BB723" s="397"/>
      <c r="BC723" s="397"/>
    </row>
    <row r="724" spans="1:55" s="40" customFormat="1" x14ac:dyDescent="0.4">
      <c r="A724" s="50"/>
      <c r="B724" s="1038"/>
      <c r="C724" s="1038"/>
      <c r="D724" s="245" t="s">
        <v>48</v>
      </c>
      <c r="F724" s="397"/>
      <c r="G724" s="397"/>
      <c r="H724" s="240"/>
      <c r="I724" s="397"/>
      <c r="J724" s="397"/>
      <c r="K724" s="397"/>
      <c r="L724" s="397"/>
      <c r="M724" s="397"/>
      <c r="N724" s="397"/>
      <c r="O724" s="397"/>
      <c r="P724" s="397"/>
      <c r="Q724" s="397"/>
      <c r="R724" s="397"/>
      <c r="S724" s="397"/>
      <c r="T724" s="397"/>
      <c r="U724" s="397"/>
      <c r="V724" s="397"/>
      <c r="W724" s="397"/>
      <c r="X724" s="397"/>
      <c r="Y724" s="397"/>
      <c r="Z724" s="397"/>
      <c r="AA724" s="397"/>
      <c r="AB724" s="397"/>
      <c r="AC724" s="397"/>
      <c r="AD724" s="762"/>
      <c r="AH724" s="397"/>
      <c r="AI724" s="397"/>
      <c r="AJ724" s="397"/>
      <c r="AK724" s="397"/>
      <c r="AL724" s="397"/>
      <c r="AM724" s="397"/>
      <c r="AN724" s="397"/>
      <c r="AO724" s="397"/>
      <c r="AP724" s="397"/>
      <c r="AQ724" s="397"/>
      <c r="AR724" s="397"/>
      <c r="AS724" s="397"/>
      <c r="AT724" s="397"/>
      <c r="AU724" s="397"/>
      <c r="AV724" s="397"/>
      <c r="AW724" s="397"/>
      <c r="AX724" s="397"/>
      <c r="AY724" s="397"/>
      <c r="AZ724" s="397"/>
      <c r="BA724" s="397"/>
      <c r="BB724" s="397"/>
      <c r="BC724" s="397"/>
    </row>
    <row r="725" spans="1:55" s="40" customFormat="1" x14ac:dyDescent="0.4">
      <c r="A725" s="50"/>
      <c r="B725" s="1038"/>
      <c r="C725" s="1038"/>
      <c r="D725" s="245" t="s">
        <v>48</v>
      </c>
      <c r="F725" s="397"/>
      <c r="G725" s="397"/>
      <c r="H725" s="240"/>
      <c r="I725" s="397"/>
      <c r="J725" s="397"/>
      <c r="K725" s="397"/>
      <c r="L725" s="397"/>
      <c r="M725" s="397"/>
      <c r="N725" s="397"/>
      <c r="O725" s="397"/>
      <c r="P725" s="397"/>
      <c r="Q725" s="397"/>
      <c r="R725" s="397"/>
      <c r="S725" s="397"/>
      <c r="T725" s="397"/>
      <c r="U725" s="397"/>
      <c r="V725" s="397"/>
      <c r="W725" s="397"/>
      <c r="X725" s="397"/>
      <c r="Y725" s="397"/>
      <c r="Z725" s="397"/>
      <c r="AA725" s="397"/>
      <c r="AB725" s="397"/>
      <c r="AC725" s="397"/>
      <c r="AD725" s="762"/>
      <c r="AH725" s="397"/>
      <c r="AI725" s="397"/>
      <c r="AJ725" s="397"/>
      <c r="AK725" s="397"/>
      <c r="AL725" s="397"/>
      <c r="AM725" s="397"/>
      <c r="AN725" s="397"/>
      <c r="AO725" s="397"/>
      <c r="AP725" s="397"/>
      <c r="AQ725" s="397"/>
      <c r="AR725" s="397"/>
      <c r="AS725" s="397"/>
      <c r="AT725" s="397"/>
      <c r="AU725" s="397"/>
      <c r="AV725" s="397"/>
      <c r="AW725" s="397"/>
      <c r="AX725" s="397"/>
      <c r="AY725" s="397"/>
      <c r="AZ725" s="397"/>
      <c r="BA725" s="397"/>
      <c r="BB725" s="397"/>
      <c r="BC725" s="397"/>
    </row>
    <row r="726" spans="1:55" s="40" customFormat="1" x14ac:dyDescent="0.4">
      <c r="A726" s="50"/>
      <c r="B726" s="1038"/>
      <c r="C726" s="1038"/>
      <c r="D726" s="245" t="s">
        <v>48</v>
      </c>
      <c r="F726" s="397"/>
      <c r="G726" s="397"/>
      <c r="H726" s="240"/>
      <c r="I726" s="397"/>
      <c r="J726" s="397"/>
      <c r="K726" s="397"/>
      <c r="L726" s="397"/>
      <c r="M726" s="397"/>
      <c r="N726" s="397"/>
      <c r="O726" s="397"/>
      <c r="P726" s="397"/>
      <c r="Q726" s="397"/>
      <c r="R726" s="397"/>
      <c r="S726" s="397"/>
      <c r="T726" s="397"/>
      <c r="U726" s="397"/>
      <c r="V726" s="397"/>
      <c r="W726" s="397"/>
      <c r="X726" s="397"/>
      <c r="Y726" s="397"/>
      <c r="Z726" s="397"/>
      <c r="AA726" s="397"/>
      <c r="AB726" s="397"/>
      <c r="AC726" s="397"/>
      <c r="AD726" s="762"/>
      <c r="AH726" s="397"/>
      <c r="AI726" s="397"/>
      <c r="AJ726" s="397"/>
      <c r="AK726" s="397"/>
      <c r="AL726" s="397"/>
      <c r="AM726" s="397"/>
      <c r="AN726" s="397"/>
      <c r="AO726" s="397"/>
      <c r="AP726" s="397"/>
      <c r="AQ726" s="397"/>
      <c r="AR726" s="397"/>
      <c r="AS726" s="397"/>
      <c r="AT726" s="397"/>
      <c r="AU726" s="397"/>
      <c r="AV726" s="397"/>
      <c r="AW726" s="397"/>
      <c r="AX726" s="397"/>
      <c r="AY726" s="397"/>
      <c r="AZ726" s="397"/>
      <c r="BA726" s="397"/>
      <c r="BB726" s="397"/>
      <c r="BC726" s="397"/>
    </row>
    <row r="727" spans="1:55" s="40" customFormat="1" x14ac:dyDescent="0.4">
      <c r="A727" s="50"/>
      <c r="B727" s="1038"/>
      <c r="C727" s="1038"/>
      <c r="D727" s="245" t="s">
        <v>48</v>
      </c>
      <c r="F727" s="397"/>
      <c r="G727" s="397"/>
      <c r="H727" s="240"/>
      <c r="I727" s="397"/>
      <c r="J727" s="397"/>
      <c r="K727" s="397"/>
      <c r="L727" s="397"/>
      <c r="M727" s="397"/>
      <c r="N727" s="397"/>
      <c r="O727" s="397"/>
      <c r="P727" s="397"/>
      <c r="Q727" s="397"/>
      <c r="R727" s="397"/>
      <c r="S727" s="397"/>
      <c r="T727" s="397"/>
      <c r="U727" s="397"/>
      <c r="V727" s="397"/>
      <c r="W727" s="397"/>
      <c r="X727" s="397"/>
      <c r="Y727" s="397"/>
      <c r="Z727" s="397"/>
      <c r="AA727" s="397"/>
      <c r="AB727" s="397"/>
      <c r="AC727" s="397"/>
      <c r="AD727" s="762"/>
      <c r="AH727" s="397"/>
      <c r="AI727" s="397"/>
      <c r="AJ727" s="397"/>
      <c r="AK727" s="397"/>
      <c r="AL727" s="397"/>
      <c r="AM727" s="397"/>
      <c r="AN727" s="397"/>
      <c r="AO727" s="397"/>
      <c r="AP727" s="397"/>
      <c r="AQ727" s="397"/>
      <c r="AR727" s="397"/>
      <c r="AS727" s="397"/>
      <c r="AT727" s="397"/>
      <c r="AU727" s="397"/>
      <c r="AV727" s="397"/>
      <c r="AW727" s="397"/>
      <c r="AX727" s="397"/>
      <c r="AY727" s="397"/>
      <c r="AZ727" s="397"/>
      <c r="BA727" s="397"/>
      <c r="BB727" s="397"/>
      <c r="BC727" s="397"/>
    </row>
    <row r="728" spans="1:55" s="40" customFormat="1" x14ac:dyDescent="0.4">
      <c r="A728" s="50"/>
      <c r="B728" s="1038"/>
      <c r="C728" s="1038"/>
      <c r="D728" s="245" t="s">
        <v>48</v>
      </c>
      <c r="F728" s="397"/>
      <c r="G728" s="397"/>
      <c r="H728" s="240"/>
      <c r="I728" s="397"/>
      <c r="J728" s="397"/>
      <c r="K728" s="397"/>
      <c r="L728" s="397"/>
      <c r="M728" s="397"/>
      <c r="N728" s="397"/>
      <c r="O728" s="397"/>
      <c r="P728" s="397"/>
      <c r="Q728" s="397"/>
      <c r="R728" s="397"/>
      <c r="S728" s="397"/>
      <c r="T728" s="397"/>
      <c r="U728" s="397"/>
      <c r="V728" s="397"/>
      <c r="W728" s="397"/>
      <c r="X728" s="397"/>
      <c r="Y728" s="397"/>
      <c r="Z728" s="397"/>
      <c r="AA728" s="397"/>
      <c r="AB728" s="397"/>
      <c r="AC728" s="397"/>
      <c r="AD728" s="762"/>
      <c r="AH728" s="397"/>
      <c r="AI728" s="397"/>
      <c r="AJ728" s="397"/>
      <c r="AK728" s="397"/>
      <c r="AL728" s="397"/>
      <c r="AM728" s="397"/>
      <c r="AN728" s="397"/>
      <c r="AO728" s="397"/>
      <c r="AP728" s="397"/>
      <c r="AQ728" s="397"/>
      <c r="AR728" s="397"/>
      <c r="AS728" s="397"/>
      <c r="AT728" s="397"/>
      <c r="AU728" s="397"/>
      <c r="AV728" s="397"/>
      <c r="AW728" s="397"/>
      <c r="AX728" s="397"/>
      <c r="AY728" s="397"/>
      <c r="AZ728" s="397"/>
      <c r="BA728" s="397"/>
      <c r="BB728" s="397"/>
      <c r="BC728" s="397"/>
    </row>
    <row r="729" spans="1:55" s="40" customFormat="1" x14ac:dyDescent="0.4">
      <c r="A729" s="50"/>
      <c r="B729" s="1038"/>
      <c r="C729" s="1038"/>
      <c r="D729" s="245" t="s">
        <v>48</v>
      </c>
      <c r="F729" s="397"/>
      <c r="G729" s="397"/>
      <c r="H729" s="240"/>
      <c r="I729" s="397"/>
      <c r="J729" s="397"/>
      <c r="K729" s="397"/>
      <c r="L729" s="397"/>
      <c r="M729" s="397"/>
      <c r="N729" s="397"/>
      <c r="O729" s="397"/>
      <c r="P729" s="397"/>
      <c r="Q729" s="397"/>
      <c r="R729" s="397"/>
      <c r="S729" s="397"/>
      <c r="T729" s="397"/>
      <c r="U729" s="397"/>
      <c r="V729" s="397"/>
      <c r="W729" s="397"/>
      <c r="X729" s="397"/>
      <c r="Y729" s="397"/>
      <c r="Z729" s="397"/>
      <c r="AA729" s="397"/>
      <c r="AB729" s="397"/>
      <c r="AC729" s="397"/>
      <c r="AD729" s="762"/>
      <c r="AH729" s="397"/>
      <c r="AI729" s="397"/>
      <c r="AJ729" s="397"/>
      <c r="AK729" s="397"/>
      <c r="AL729" s="397"/>
      <c r="AM729" s="397"/>
      <c r="AN729" s="397"/>
      <c r="AO729" s="397"/>
      <c r="AP729" s="397"/>
      <c r="AQ729" s="397"/>
      <c r="AR729" s="397"/>
      <c r="AS729" s="397"/>
      <c r="AT729" s="397"/>
      <c r="AU729" s="397"/>
      <c r="AV729" s="397"/>
      <c r="AW729" s="397"/>
      <c r="AX729" s="397"/>
      <c r="AY729" s="397"/>
      <c r="AZ729" s="397"/>
      <c r="BA729" s="397"/>
      <c r="BB729" s="397"/>
      <c r="BC729" s="397"/>
    </row>
    <row r="730" spans="1:55" s="40" customFormat="1" x14ac:dyDescent="0.4">
      <c r="A730" s="50"/>
      <c r="B730" s="1038"/>
      <c r="C730" s="1038"/>
      <c r="D730" s="245" t="s">
        <v>48</v>
      </c>
      <c r="F730" s="397"/>
      <c r="G730" s="397"/>
      <c r="H730" s="240"/>
      <c r="I730" s="397"/>
      <c r="J730" s="397"/>
      <c r="K730" s="397"/>
      <c r="L730" s="397"/>
      <c r="M730" s="397"/>
      <c r="N730" s="397"/>
      <c r="O730" s="397"/>
      <c r="P730" s="397"/>
      <c r="Q730" s="397"/>
      <c r="R730" s="397"/>
      <c r="S730" s="397"/>
      <c r="T730" s="397"/>
      <c r="U730" s="397"/>
      <c r="V730" s="397"/>
      <c r="W730" s="397"/>
      <c r="X730" s="397"/>
      <c r="Y730" s="397"/>
      <c r="Z730" s="397"/>
      <c r="AA730" s="397"/>
      <c r="AB730" s="397"/>
      <c r="AC730" s="397"/>
      <c r="AD730" s="762"/>
      <c r="AH730" s="397"/>
      <c r="AI730" s="397"/>
      <c r="AJ730" s="397"/>
      <c r="AK730" s="397"/>
      <c r="AL730" s="397"/>
      <c r="AM730" s="397"/>
      <c r="AN730" s="397"/>
      <c r="AO730" s="397"/>
      <c r="AP730" s="397"/>
      <c r="AQ730" s="397"/>
      <c r="AR730" s="397"/>
      <c r="AS730" s="397"/>
      <c r="AT730" s="397"/>
      <c r="AU730" s="397"/>
      <c r="AV730" s="397"/>
      <c r="AW730" s="397"/>
      <c r="AX730" s="397"/>
      <c r="AY730" s="397"/>
      <c r="AZ730" s="397"/>
      <c r="BA730" s="397"/>
      <c r="BB730" s="397"/>
      <c r="BC730" s="397"/>
    </row>
    <row r="731" spans="1:55" s="40" customFormat="1" x14ac:dyDescent="0.4">
      <c r="A731" s="50"/>
      <c r="B731" s="1038"/>
      <c r="C731" s="1038"/>
      <c r="D731" s="245" t="s">
        <v>48</v>
      </c>
      <c r="F731" s="397"/>
      <c r="G731" s="397"/>
      <c r="H731" s="240"/>
      <c r="I731" s="397"/>
      <c r="J731" s="397"/>
      <c r="K731" s="397"/>
      <c r="L731" s="397"/>
      <c r="M731" s="397"/>
      <c r="N731" s="397"/>
      <c r="O731" s="397"/>
      <c r="P731" s="397"/>
      <c r="Q731" s="397"/>
      <c r="R731" s="397"/>
      <c r="S731" s="397"/>
      <c r="T731" s="397"/>
      <c r="U731" s="397"/>
      <c r="V731" s="397"/>
      <c r="W731" s="397"/>
      <c r="X731" s="397"/>
      <c r="Y731" s="397"/>
      <c r="Z731" s="397"/>
      <c r="AA731" s="397"/>
      <c r="AB731" s="397"/>
      <c r="AC731" s="397"/>
      <c r="AD731" s="762"/>
      <c r="AH731" s="397"/>
      <c r="AI731" s="397"/>
      <c r="AJ731" s="397"/>
      <c r="AK731" s="397"/>
      <c r="AL731" s="397"/>
      <c r="AM731" s="397"/>
      <c r="AN731" s="397"/>
      <c r="AO731" s="397"/>
      <c r="AP731" s="397"/>
      <c r="AQ731" s="397"/>
      <c r="AR731" s="397"/>
      <c r="AS731" s="397"/>
      <c r="AT731" s="397"/>
      <c r="AU731" s="397"/>
      <c r="AV731" s="397"/>
      <c r="AW731" s="397"/>
      <c r="AX731" s="397"/>
      <c r="AY731" s="397"/>
      <c r="AZ731" s="397"/>
      <c r="BA731" s="397"/>
      <c r="BB731" s="397"/>
      <c r="BC731" s="397"/>
    </row>
    <row r="732" spans="1:55" s="40" customFormat="1" x14ac:dyDescent="0.4">
      <c r="A732" s="50"/>
      <c r="B732" s="1038"/>
      <c r="C732" s="1038"/>
      <c r="D732" s="245" t="s">
        <v>48</v>
      </c>
      <c r="F732" s="397"/>
      <c r="G732" s="397"/>
      <c r="H732" s="240"/>
      <c r="I732" s="397"/>
      <c r="J732" s="397"/>
      <c r="K732" s="397"/>
      <c r="L732" s="397"/>
      <c r="M732" s="397"/>
      <c r="N732" s="397"/>
      <c r="O732" s="397"/>
      <c r="P732" s="397"/>
      <c r="Q732" s="397"/>
      <c r="R732" s="397"/>
      <c r="S732" s="397"/>
      <c r="T732" s="397"/>
      <c r="U732" s="397"/>
      <c r="V732" s="397"/>
      <c r="W732" s="397"/>
      <c r="X732" s="397"/>
      <c r="Y732" s="397"/>
      <c r="Z732" s="397"/>
      <c r="AA732" s="397"/>
      <c r="AB732" s="397"/>
      <c r="AC732" s="397"/>
      <c r="AD732" s="762"/>
      <c r="AH732" s="397"/>
      <c r="AI732" s="397"/>
      <c r="AJ732" s="397"/>
      <c r="AK732" s="397"/>
      <c r="AL732" s="397"/>
      <c r="AM732" s="397"/>
      <c r="AN732" s="397"/>
      <c r="AO732" s="397"/>
      <c r="AP732" s="397"/>
      <c r="AQ732" s="397"/>
      <c r="AR732" s="397"/>
      <c r="AS732" s="397"/>
      <c r="AT732" s="397"/>
      <c r="AU732" s="397"/>
      <c r="AV732" s="397"/>
      <c r="AW732" s="397"/>
      <c r="AX732" s="397"/>
      <c r="AY732" s="397"/>
      <c r="AZ732" s="397"/>
      <c r="BA732" s="397"/>
      <c r="BB732" s="397"/>
      <c r="BC732" s="397"/>
    </row>
    <row r="733" spans="1:55" s="40" customFormat="1" x14ac:dyDescent="0.4">
      <c r="A733" s="50"/>
      <c r="B733" s="1038"/>
      <c r="C733" s="1038"/>
      <c r="D733" s="245" t="s">
        <v>48</v>
      </c>
      <c r="F733" s="397"/>
      <c r="G733" s="397"/>
      <c r="H733" s="240"/>
      <c r="I733" s="397"/>
      <c r="J733" s="397"/>
      <c r="K733" s="397"/>
      <c r="L733" s="397"/>
      <c r="M733" s="397"/>
      <c r="N733" s="397"/>
      <c r="O733" s="397"/>
      <c r="P733" s="397"/>
      <c r="Q733" s="397"/>
      <c r="R733" s="397"/>
      <c r="S733" s="397"/>
      <c r="T733" s="397"/>
      <c r="U733" s="397"/>
      <c r="V733" s="397"/>
      <c r="W733" s="397"/>
      <c r="X733" s="397"/>
      <c r="Y733" s="397"/>
      <c r="Z733" s="397"/>
      <c r="AA733" s="397"/>
      <c r="AB733" s="397"/>
      <c r="AC733" s="397"/>
      <c r="AD733" s="762"/>
      <c r="AH733" s="397"/>
      <c r="AI733" s="397"/>
      <c r="AJ733" s="397"/>
      <c r="AK733" s="397"/>
      <c r="AL733" s="397"/>
      <c r="AM733" s="397"/>
      <c r="AN733" s="397"/>
      <c r="AO733" s="397"/>
      <c r="AP733" s="397"/>
      <c r="AQ733" s="397"/>
      <c r="AR733" s="397"/>
      <c r="AS733" s="397"/>
      <c r="AT733" s="397"/>
      <c r="AU733" s="397"/>
      <c r="AV733" s="397"/>
      <c r="AW733" s="397"/>
      <c r="AX733" s="397"/>
      <c r="AY733" s="397"/>
      <c r="AZ733" s="397"/>
      <c r="BA733" s="397"/>
      <c r="BB733" s="397"/>
      <c r="BC733" s="397"/>
    </row>
    <row r="734" spans="1:55" s="40" customFormat="1" x14ac:dyDescent="0.4">
      <c r="A734" s="50"/>
      <c r="B734" s="1038"/>
      <c r="C734" s="1038"/>
      <c r="D734" s="245" t="s">
        <v>48</v>
      </c>
      <c r="F734" s="397"/>
      <c r="G734" s="397"/>
      <c r="H734" s="240"/>
      <c r="I734" s="397"/>
      <c r="J734" s="397"/>
      <c r="K734" s="397"/>
      <c r="L734" s="397"/>
      <c r="M734" s="397"/>
      <c r="N734" s="397"/>
      <c r="O734" s="397"/>
      <c r="P734" s="397"/>
      <c r="Q734" s="397"/>
      <c r="R734" s="397"/>
      <c r="S734" s="397"/>
      <c r="T734" s="397"/>
      <c r="U734" s="397"/>
      <c r="V734" s="397"/>
      <c r="W734" s="397"/>
      <c r="X734" s="397"/>
      <c r="Y734" s="397"/>
      <c r="Z734" s="397"/>
      <c r="AA734" s="397"/>
      <c r="AB734" s="397"/>
      <c r="AC734" s="397"/>
      <c r="AD734" s="762"/>
      <c r="AH734" s="397"/>
      <c r="AI734" s="397"/>
      <c r="AJ734" s="397"/>
      <c r="AK734" s="397"/>
      <c r="AL734" s="397"/>
      <c r="AM734" s="397"/>
      <c r="AN734" s="397"/>
      <c r="AO734" s="397"/>
      <c r="AP734" s="397"/>
      <c r="AQ734" s="397"/>
      <c r="AR734" s="397"/>
      <c r="AS734" s="397"/>
      <c r="AT734" s="397"/>
      <c r="AU734" s="397"/>
      <c r="AV734" s="397"/>
      <c r="AW734" s="397"/>
      <c r="AX734" s="397"/>
      <c r="AY734" s="397"/>
      <c r="AZ734" s="397"/>
      <c r="BA734" s="397"/>
      <c r="BB734" s="397"/>
      <c r="BC734" s="397"/>
    </row>
    <row r="735" spans="1:55" s="40" customFormat="1" x14ac:dyDescent="0.4">
      <c r="A735" s="50"/>
      <c r="B735" s="1038"/>
      <c r="C735" s="1038"/>
      <c r="D735" s="245" t="s">
        <v>48</v>
      </c>
      <c r="F735" s="397"/>
      <c r="G735" s="397"/>
      <c r="H735" s="240"/>
      <c r="I735" s="397"/>
      <c r="J735" s="397"/>
      <c r="K735" s="397"/>
      <c r="L735" s="397"/>
      <c r="M735" s="397"/>
      <c r="N735" s="397"/>
      <c r="O735" s="397"/>
      <c r="P735" s="397"/>
      <c r="Q735" s="397"/>
      <c r="R735" s="397"/>
      <c r="S735" s="397"/>
      <c r="T735" s="397"/>
      <c r="U735" s="397"/>
      <c r="V735" s="397"/>
      <c r="W735" s="397"/>
      <c r="X735" s="397"/>
      <c r="Y735" s="397"/>
      <c r="Z735" s="397"/>
      <c r="AA735" s="397"/>
      <c r="AB735" s="397"/>
      <c r="AC735" s="397"/>
      <c r="AD735" s="762"/>
      <c r="AH735" s="397"/>
      <c r="AI735" s="397"/>
      <c r="AJ735" s="397"/>
      <c r="AK735" s="397"/>
      <c r="AL735" s="397"/>
      <c r="AM735" s="397"/>
      <c r="AN735" s="397"/>
      <c r="AO735" s="397"/>
      <c r="AP735" s="397"/>
      <c r="AQ735" s="397"/>
      <c r="AR735" s="397"/>
      <c r="AS735" s="397"/>
      <c r="AT735" s="397"/>
      <c r="AU735" s="397"/>
      <c r="AV735" s="397"/>
      <c r="AW735" s="397"/>
      <c r="AX735" s="397"/>
      <c r="AY735" s="397"/>
      <c r="AZ735" s="397"/>
      <c r="BA735" s="397"/>
      <c r="BB735" s="397"/>
      <c r="BC735" s="397"/>
    </row>
    <row r="736" spans="1:55" s="40" customFormat="1" x14ac:dyDescent="0.4">
      <c r="A736" s="50"/>
      <c r="B736" s="1038"/>
      <c r="C736" s="1038"/>
      <c r="D736" s="245" t="s">
        <v>48</v>
      </c>
      <c r="F736" s="397"/>
      <c r="G736" s="397"/>
      <c r="H736" s="240"/>
      <c r="I736" s="397"/>
      <c r="J736" s="397"/>
      <c r="K736" s="397"/>
      <c r="L736" s="397"/>
      <c r="M736" s="397"/>
      <c r="N736" s="397"/>
      <c r="O736" s="397"/>
      <c r="P736" s="397"/>
      <c r="Q736" s="397"/>
      <c r="R736" s="397"/>
      <c r="S736" s="397"/>
      <c r="T736" s="397"/>
      <c r="U736" s="397"/>
      <c r="V736" s="397"/>
      <c r="W736" s="397"/>
      <c r="X736" s="397"/>
      <c r="Y736" s="397"/>
      <c r="Z736" s="397"/>
      <c r="AA736" s="397"/>
      <c r="AB736" s="397"/>
      <c r="AC736" s="397"/>
      <c r="AD736" s="762"/>
      <c r="AH736" s="397"/>
      <c r="AI736" s="397"/>
      <c r="AJ736" s="397"/>
      <c r="AK736" s="397"/>
      <c r="AL736" s="397"/>
      <c r="AM736" s="397"/>
      <c r="AN736" s="397"/>
      <c r="AO736" s="397"/>
      <c r="AP736" s="397"/>
      <c r="AQ736" s="397"/>
      <c r="AR736" s="397"/>
      <c r="AS736" s="397"/>
      <c r="AT736" s="397"/>
      <c r="AU736" s="397"/>
      <c r="AV736" s="397"/>
      <c r="AW736" s="397"/>
      <c r="AX736" s="397"/>
      <c r="AY736" s="397"/>
      <c r="AZ736" s="397"/>
      <c r="BA736" s="397"/>
      <c r="BB736" s="397"/>
      <c r="BC736" s="397"/>
    </row>
    <row r="737" spans="1:55" s="40" customFormat="1" x14ac:dyDescent="0.4">
      <c r="A737" s="50"/>
      <c r="B737" s="1038"/>
      <c r="C737" s="1038"/>
      <c r="D737" s="245" t="s">
        <v>48</v>
      </c>
      <c r="F737" s="397"/>
      <c r="G737" s="397"/>
      <c r="H737" s="240"/>
      <c r="I737" s="397"/>
      <c r="J737" s="397"/>
      <c r="K737" s="397"/>
      <c r="L737" s="397"/>
      <c r="M737" s="397"/>
      <c r="N737" s="397"/>
      <c r="O737" s="397"/>
      <c r="P737" s="397"/>
      <c r="Q737" s="397"/>
      <c r="R737" s="397"/>
      <c r="S737" s="397"/>
      <c r="T737" s="397"/>
      <c r="U737" s="397"/>
      <c r="V737" s="397"/>
      <c r="W737" s="397"/>
      <c r="X737" s="397"/>
      <c r="Y737" s="397"/>
      <c r="Z737" s="397"/>
      <c r="AA737" s="397"/>
      <c r="AB737" s="397"/>
      <c r="AC737" s="397"/>
      <c r="AD737" s="762"/>
      <c r="AH737" s="397"/>
      <c r="AI737" s="397"/>
      <c r="AJ737" s="397"/>
      <c r="AK737" s="397"/>
      <c r="AL737" s="397"/>
      <c r="AM737" s="397"/>
      <c r="AN737" s="397"/>
      <c r="AO737" s="397"/>
      <c r="AP737" s="397"/>
      <c r="AQ737" s="397"/>
      <c r="AR737" s="397"/>
      <c r="AS737" s="397"/>
      <c r="AT737" s="397"/>
      <c r="AU737" s="397"/>
      <c r="AV737" s="397"/>
      <c r="AW737" s="397"/>
      <c r="AX737" s="397"/>
      <c r="AY737" s="397"/>
      <c r="AZ737" s="397"/>
      <c r="BA737" s="397"/>
      <c r="BB737" s="397"/>
      <c r="BC737" s="397"/>
    </row>
    <row r="738" spans="1:55" s="40" customFormat="1" x14ac:dyDescent="0.4">
      <c r="A738" s="50"/>
      <c r="B738" s="1038"/>
      <c r="C738" s="1038"/>
      <c r="D738" s="245" t="s">
        <v>48</v>
      </c>
      <c r="F738" s="397"/>
      <c r="G738" s="397"/>
      <c r="H738" s="240"/>
      <c r="I738" s="397"/>
      <c r="J738" s="397"/>
      <c r="K738" s="397"/>
      <c r="L738" s="397"/>
      <c r="M738" s="397"/>
      <c r="N738" s="397"/>
      <c r="O738" s="397"/>
      <c r="P738" s="397"/>
      <c r="Q738" s="397"/>
      <c r="R738" s="397"/>
      <c r="S738" s="397"/>
      <c r="T738" s="397"/>
      <c r="U738" s="397"/>
      <c r="V738" s="397"/>
      <c r="W738" s="397"/>
      <c r="X738" s="397"/>
      <c r="Y738" s="397"/>
      <c r="Z738" s="397"/>
      <c r="AA738" s="397"/>
      <c r="AB738" s="397"/>
      <c r="AC738" s="397"/>
      <c r="AD738" s="762"/>
      <c r="AH738" s="397"/>
      <c r="AI738" s="397"/>
      <c r="AJ738" s="397"/>
      <c r="AK738" s="397"/>
      <c r="AL738" s="397"/>
      <c r="AM738" s="397"/>
      <c r="AN738" s="397"/>
      <c r="AO738" s="397"/>
      <c r="AP738" s="397"/>
      <c r="AQ738" s="397"/>
      <c r="AR738" s="397"/>
      <c r="AS738" s="397"/>
      <c r="AT738" s="397"/>
      <c r="AU738" s="397"/>
      <c r="AV738" s="397"/>
      <c r="AW738" s="397"/>
      <c r="AX738" s="397"/>
      <c r="AY738" s="397"/>
      <c r="AZ738" s="397"/>
      <c r="BA738" s="397"/>
      <c r="BB738" s="397"/>
      <c r="BC738" s="397"/>
    </row>
    <row r="739" spans="1:55" s="40" customFormat="1" x14ac:dyDescent="0.4">
      <c r="A739" s="50"/>
      <c r="B739" s="1038"/>
      <c r="C739" s="1038"/>
      <c r="D739" s="245"/>
      <c r="F739" s="397"/>
      <c r="G739" s="397"/>
      <c r="H739" s="240"/>
      <c r="I739" s="397"/>
      <c r="J739" s="397"/>
      <c r="K739" s="397"/>
      <c r="L739" s="397"/>
      <c r="M739" s="397"/>
      <c r="N739" s="397"/>
      <c r="O739" s="397"/>
      <c r="P739" s="397"/>
      <c r="Q739" s="397"/>
      <c r="R739" s="397"/>
      <c r="S739" s="397"/>
      <c r="T739" s="397"/>
      <c r="U739" s="397"/>
      <c r="V739" s="397"/>
      <c r="W739" s="397"/>
      <c r="X739" s="397"/>
      <c r="Y739" s="397"/>
      <c r="Z739" s="397"/>
      <c r="AA739" s="397"/>
      <c r="AB739" s="397"/>
      <c r="AC739" s="397"/>
      <c r="AD739" s="762"/>
      <c r="AH739" s="397"/>
      <c r="AI739" s="397"/>
      <c r="AJ739" s="397"/>
      <c r="AK739" s="397"/>
      <c r="AL739" s="397"/>
      <c r="AM739" s="397"/>
      <c r="AN739" s="397"/>
      <c r="AO739" s="397"/>
      <c r="AP739" s="397"/>
      <c r="AQ739" s="397"/>
      <c r="AR739" s="397"/>
      <c r="AS739" s="397"/>
      <c r="AT739" s="397"/>
      <c r="AU739" s="397"/>
      <c r="AV739" s="397"/>
      <c r="AW739" s="397"/>
      <c r="AX739" s="397"/>
      <c r="AY739" s="397"/>
      <c r="AZ739" s="397"/>
      <c r="BA739" s="397"/>
      <c r="BB739" s="397"/>
      <c r="BC739" s="397"/>
    </row>
    <row r="740" spans="1:55" s="999" customFormat="1" ht="27" customHeight="1" x14ac:dyDescent="0.4">
      <c r="A740" s="1047"/>
      <c r="B740" s="1047"/>
      <c r="C740" s="1047"/>
      <c r="E740" s="999" t="str">
        <f>$E$50</f>
        <v>SÖGULEG LOSUN</v>
      </c>
      <c r="F740" s="1000"/>
      <c r="G740" s="1000"/>
      <c r="H740" s="1000"/>
      <c r="I740" s="1000"/>
      <c r="J740" s="1000"/>
      <c r="K740" s="1000"/>
      <c r="L740" s="1000"/>
      <c r="M740" s="1000"/>
      <c r="N740" s="1000"/>
      <c r="O740" s="1000"/>
      <c r="P740" s="1000"/>
      <c r="Q740" s="1000"/>
      <c r="R740" s="1000"/>
      <c r="S740" s="1000"/>
      <c r="T740" s="1000"/>
      <c r="U740" s="1000"/>
      <c r="V740" s="1000"/>
      <c r="W740" s="1000"/>
      <c r="X740" s="1000"/>
      <c r="Y740" s="1000"/>
      <c r="Z740" s="1000"/>
      <c r="AA740" s="1000"/>
      <c r="AB740" s="1000"/>
      <c r="AC740" s="1000"/>
      <c r="AD740" s="1001"/>
      <c r="AG740" s="999" t="str">
        <f>$AG$50</f>
        <v>HISTORICAL EMISSIONS</v>
      </c>
      <c r="AH740" s="1000"/>
      <c r="AI740" s="1000"/>
      <c r="AJ740" s="1000"/>
      <c r="AK740" s="1000"/>
      <c r="AL740" s="1000"/>
      <c r="AM740" s="1000"/>
      <c r="AN740" s="1000"/>
      <c r="AO740" s="1000"/>
      <c r="AP740" s="1000"/>
      <c r="AQ740" s="1000"/>
      <c r="AR740" s="1000"/>
      <c r="AS740" s="1000"/>
      <c r="AT740" s="1000"/>
      <c r="AU740" s="1000"/>
      <c r="AV740" s="1000"/>
      <c r="AW740" s="1000"/>
      <c r="AX740" s="1000"/>
      <c r="AY740" s="1000"/>
      <c r="AZ740" s="1000"/>
      <c r="BA740" s="1000"/>
      <c r="BB740" s="1000"/>
      <c r="BC740" s="1000"/>
    </row>
    <row r="741" spans="1:55" s="40" customFormat="1" x14ac:dyDescent="0.4">
      <c r="A741" s="50"/>
      <c r="B741" s="1038"/>
      <c r="C741" s="1038"/>
      <c r="D741" s="245" t="s">
        <v>48</v>
      </c>
      <c r="F741" s="397"/>
      <c r="G741" s="397"/>
      <c r="H741" s="240"/>
      <c r="I741" s="397"/>
      <c r="J741" s="397"/>
      <c r="K741" s="397"/>
      <c r="L741" s="397"/>
      <c r="M741" s="397"/>
      <c r="N741" s="397"/>
      <c r="O741" s="397"/>
      <c r="P741" s="397"/>
      <c r="Q741" s="397"/>
      <c r="R741" s="397"/>
      <c r="S741" s="397"/>
      <c r="T741" s="397"/>
      <c r="U741" s="397"/>
      <c r="V741" s="397"/>
      <c r="W741" s="397"/>
      <c r="X741" s="397"/>
      <c r="Y741" s="397"/>
      <c r="Z741" s="397"/>
      <c r="AA741" s="397"/>
      <c r="AB741" s="397"/>
      <c r="AC741" s="397"/>
      <c r="AD741" s="762"/>
      <c r="AH741" s="397"/>
      <c r="AI741" s="397"/>
      <c r="AJ741" s="397"/>
      <c r="AK741" s="397"/>
      <c r="AL741" s="397"/>
      <c r="AM741" s="397"/>
      <c r="AN741" s="397"/>
      <c r="AO741" s="397"/>
      <c r="AP741" s="397"/>
      <c r="AQ741" s="397"/>
      <c r="AR741" s="397"/>
      <c r="AS741" s="397"/>
      <c r="AT741" s="397"/>
      <c r="AU741" s="397"/>
      <c r="AV741" s="397"/>
      <c r="AW741" s="397"/>
      <c r="AX741" s="397"/>
      <c r="AY741" s="397"/>
      <c r="AZ741" s="397"/>
      <c r="BA741" s="397"/>
      <c r="BB741" s="397"/>
      <c r="BC741" s="397"/>
    </row>
    <row r="742" spans="1:55" s="40" customFormat="1" x14ac:dyDescent="0.4">
      <c r="A742" s="50"/>
      <c r="B742" s="1038"/>
      <c r="C742" s="1038"/>
      <c r="D742" s="245" t="s">
        <v>48</v>
      </c>
      <c r="F742" s="397"/>
      <c r="G742" s="397"/>
      <c r="H742" s="240"/>
      <c r="I742" s="397"/>
      <c r="J742" s="397"/>
      <c r="K742" s="397"/>
      <c r="L742" s="397"/>
      <c r="M742" s="397"/>
      <c r="N742" s="397"/>
      <c r="O742" s="397"/>
      <c r="P742" s="397"/>
      <c r="Q742" s="397"/>
      <c r="R742" s="397"/>
      <c r="S742" s="397"/>
      <c r="T742" s="397"/>
      <c r="U742" s="397"/>
      <c r="V742" s="397"/>
      <c r="W742" s="397"/>
      <c r="X742" s="397"/>
      <c r="Y742" s="397"/>
      <c r="Z742" s="397"/>
      <c r="AA742" s="397"/>
      <c r="AB742" s="397"/>
      <c r="AC742" s="397"/>
      <c r="AD742" s="762"/>
      <c r="AH742" s="397"/>
      <c r="AI742" s="397"/>
      <c r="AJ742" s="397"/>
      <c r="AK742" s="397"/>
      <c r="AL742" s="397"/>
      <c r="AM742" s="397"/>
      <c r="AN742" s="397"/>
      <c r="AO742" s="397"/>
      <c r="AP742" s="397"/>
      <c r="AQ742" s="397"/>
      <c r="AR742" s="397"/>
      <c r="AS742" s="397"/>
      <c r="AT742" s="397"/>
      <c r="AU742" s="397"/>
      <c r="AV742" s="397"/>
      <c r="AW742" s="397"/>
      <c r="AX742" s="397"/>
      <c r="AY742" s="397"/>
      <c r="AZ742" s="397"/>
      <c r="BA742" s="397"/>
      <c r="BB742" s="397"/>
      <c r="BC742" s="397"/>
    </row>
    <row r="743" spans="1:55" s="40" customFormat="1" x14ac:dyDescent="0.4">
      <c r="A743" s="50"/>
      <c r="B743" s="1038"/>
      <c r="C743" s="1038"/>
      <c r="D743" s="245" t="s">
        <v>48</v>
      </c>
      <c r="F743" s="397"/>
      <c r="G743" s="397"/>
      <c r="H743" s="240"/>
      <c r="I743" s="397"/>
      <c r="J743" s="397"/>
      <c r="K743" s="397"/>
      <c r="L743" s="397"/>
      <c r="M743" s="397"/>
      <c r="N743" s="397"/>
      <c r="O743" s="397"/>
      <c r="P743" s="397"/>
      <c r="Q743" s="397"/>
      <c r="R743" s="397"/>
      <c r="S743" s="397"/>
      <c r="T743" s="397"/>
      <c r="U743" s="397"/>
      <c r="V743" s="397"/>
      <c r="W743" s="397"/>
      <c r="X743" s="397"/>
      <c r="Y743" s="397"/>
      <c r="Z743" s="397"/>
      <c r="AA743" s="397"/>
      <c r="AB743" s="397"/>
      <c r="AC743" s="397"/>
      <c r="AD743" s="762"/>
      <c r="AH743" s="397"/>
      <c r="AI743" s="397"/>
      <c r="AJ743" s="397"/>
      <c r="AK743" s="397"/>
      <c r="AL743" s="397"/>
      <c r="AM743" s="397"/>
      <c r="AN743" s="397"/>
      <c r="AO743" s="397"/>
      <c r="AP743" s="397"/>
      <c r="AQ743" s="397"/>
      <c r="AR743" s="397"/>
      <c r="AS743" s="397"/>
      <c r="AT743" s="397"/>
      <c r="AU743" s="397"/>
      <c r="AV743" s="397"/>
      <c r="AW743" s="397"/>
      <c r="AX743" s="397"/>
      <c r="AY743" s="397"/>
      <c r="AZ743" s="397"/>
      <c r="BA743" s="397"/>
      <c r="BB743" s="397"/>
      <c r="BC743" s="397"/>
    </row>
    <row r="744" spans="1:55" s="40" customFormat="1" x14ac:dyDescent="0.4">
      <c r="A744" s="50"/>
      <c r="B744" s="1038"/>
      <c r="C744" s="1038"/>
      <c r="D744" s="245" t="s">
        <v>48</v>
      </c>
      <c r="F744" s="397"/>
      <c r="G744" s="397"/>
      <c r="H744" s="240"/>
      <c r="I744" s="397"/>
      <c r="J744" s="397"/>
      <c r="K744" s="397"/>
      <c r="L744" s="397"/>
      <c r="M744" s="397"/>
      <c r="N744" s="397"/>
      <c r="O744" s="397"/>
      <c r="P744" s="397"/>
      <c r="Q744" s="397"/>
      <c r="R744" s="397"/>
      <c r="S744" s="397"/>
      <c r="T744" s="397"/>
      <c r="U744" s="397"/>
      <c r="V744" s="397"/>
      <c r="W744" s="397"/>
      <c r="X744" s="397"/>
      <c r="Y744" s="397"/>
      <c r="Z744" s="397"/>
      <c r="AA744" s="397"/>
      <c r="AB744" s="397"/>
      <c r="AC744" s="397"/>
      <c r="AD744" s="762"/>
      <c r="AH744" s="397"/>
      <c r="AI744" s="397"/>
      <c r="AJ744" s="397"/>
      <c r="AK744" s="397"/>
      <c r="AL744" s="397"/>
      <c r="AM744" s="397"/>
      <c r="AN744" s="397"/>
      <c r="AO744" s="397"/>
      <c r="AP744" s="397"/>
      <c r="AQ744" s="397"/>
      <c r="AR744" s="397"/>
      <c r="AS744" s="397"/>
      <c r="AT744" s="397"/>
      <c r="AU744" s="397"/>
      <c r="AV744" s="397"/>
      <c r="AW744" s="397"/>
      <c r="AX744" s="397"/>
      <c r="AY744" s="397"/>
      <c r="AZ744" s="397"/>
      <c r="BA744" s="397"/>
      <c r="BB744" s="397"/>
      <c r="BC744" s="397"/>
    </row>
    <row r="745" spans="1:55" s="40" customFormat="1" x14ac:dyDescent="0.4">
      <c r="A745" s="50"/>
      <c r="B745" s="1038"/>
      <c r="C745" s="1038"/>
      <c r="D745" s="245" t="s">
        <v>48</v>
      </c>
      <c r="F745" s="397"/>
      <c r="G745" s="397"/>
      <c r="H745" s="240"/>
      <c r="I745" s="397"/>
      <c r="J745" s="397"/>
      <c r="K745" s="397"/>
      <c r="L745" s="397"/>
      <c r="M745" s="397"/>
      <c r="N745" s="397"/>
      <c r="O745" s="397"/>
      <c r="P745" s="397"/>
      <c r="Q745" s="397"/>
      <c r="R745" s="397"/>
      <c r="S745" s="397"/>
      <c r="T745" s="397"/>
      <c r="U745" s="397"/>
      <c r="V745" s="397"/>
      <c r="W745" s="397"/>
      <c r="X745" s="397"/>
      <c r="Y745" s="397"/>
      <c r="Z745" s="397"/>
      <c r="AA745" s="397"/>
      <c r="AB745" s="397"/>
      <c r="AC745" s="397"/>
      <c r="AD745" s="762"/>
      <c r="AH745" s="397"/>
      <c r="AI745" s="397"/>
      <c r="AJ745" s="397"/>
      <c r="AK745" s="397"/>
      <c r="AL745" s="397"/>
      <c r="AM745" s="397"/>
      <c r="AN745" s="397"/>
      <c r="AO745" s="397"/>
      <c r="AP745" s="397"/>
      <c r="AQ745" s="397"/>
      <c r="AR745" s="397"/>
      <c r="AS745" s="397"/>
      <c r="AT745" s="397"/>
      <c r="AU745" s="397"/>
      <c r="AV745" s="397"/>
      <c r="AW745" s="397"/>
      <c r="AX745" s="397"/>
      <c r="AY745" s="397"/>
      <c r="AZ745" s="397"/>
      <c r="BA745" s="397"/>
      <c r="BB745" s="397"/>
      <c r="BC745" s="397"/>
    </row>
    <row r="746" spans="1:55" s="40" customFormat="1" x14ac:dyDescent="0.4">
      <c r="A746" s="50"/>
      <c r="B746" s="1038"/>
      <c r="C746" s="1038"/>
      <c r="D746" s="245" t="s">
        <v>48</v>
      </c>
      <c r="F746" s="397"/>
      <c r="G746" s="397"/>
      <c r="H746" s="240"/>
      <c r="I746" s="397"/>
      <c r="J746" s="397"/>
      <c r="K746" s="397"/>
      <c r="L746" s="397"/>
      <c r="M746" s="397"/>
      <c r="N746" s="397"/>
      <c r="O746" s="397"/>
      <c r="P746" s="397"/>
      <c r="Q746" s="397"/>
      <c r="R746" s="397"/>
      <c r="S746" s="397"/>
      <c r="T746" s="397"/>
      <c r="U746" s="397"/>
      <c r="V746" s="397"/>
      <c r="W746" s="397"/>
      <c r="X746" s="397"/>
      <c r="Y746" s="397"/>
      <c r="Z746" s="397"/>
      <c r="AA746" s="397"/>
      <c r="AB746" s="397"/>
      <c r="AC746" s="397"/>
      <c r="AD746" s="762"/>
      <c r="AH746" s="397"/>
      <c r="AI746" s="397"/>
      <c r="AJ746" s="397"/>
      <c r="AK746" s="397"/>
      <c r="AL746" s="397"/>
      <c r="AM746" s="397"/>
      <c r="AN746" s="397"/>
      <c r="AO746" s="397"/>
      <c r="AP746" s="397"/>
      <c r="AQ746" s="397"/>
      <c r="AR746" s="397"/>
      <c r="AS746" s="397"/>
      <c r="AT746" s="397"/>
      <c r="AU746" s="397"/>
      <c r="AV746" s="397"/>
      <c r="AW746" s="397"/>
      <c r="AX746" s="397"/>
      <c r="AY746" s="397"/>
      <c r="AZ746" s="397"/>
      <c r="BA746" s="397"/>
      <c r="BB746" s="397"/>
      <c r="BC746" s="397"/>
    </row>
    <row r="747" spans="1:55" s="40" customFormat="1" x14ac:dyDescent="0.4">
      <c r="A747" s="50"/>
      <c r="B747" s="1038"/>
      <c r="C747" s="1038"/>
      <c r="D747" s="245" t="s">
        <v>48</v>
      </c>
      <c r="F747" s="397"/>
      <c r="G747" s="397"/>
      <c r="H747" s="240"/>
      <c r="I747" s="397"/>
      <c r="J747" s="397"/>
      <c r="K747" s="397"/>
      <c r="L747" s="397"/>
      <c r="M747" s="397"/>
      <c r="N747" s="397"/>
      <c r="O747" s="397"/>
      <c r="P747" s="397"/>
      <c r="Q747" s="397"/>
      <c r="R747" s="397"/>
      <c r="S747" s="397"/>
      <c r="T747" s="397"/>
      <c r="U747" s="397"/>
      <c r="V747" s="397"/>
      <c r="W747" s="397"/>
      <c r="X747" s="397"/>
      <c r="Y747" s="397"/>
      <c r="Z747" s="397"/>
      <c r="AA747" s="397"/>
      <c r="AB747" s="397"/>
      <c r="AC747" s="397"/>
      <c r="AD747" s="762"/>
      <c r="AH747" s="397"/>
      <c r="AI747" s="397"/>
      <c r="AJ747" s="397"/>
      <c r="AK747" s="397"/>
      <c r="AL747" s="397"/>
      <c r="AM747" s="397"/>
      <c r="AN747" s="397"/>
      <c r="AO747" s="397"/>
      <c r="AP747" s="397"/>
      <c r="AQ747" s="397"/>
      <c r="AR747" s="397"/>
      <c r="AS747" s="397"/>
      <c r="AT747" s="397"/>
      <c r="AU747" s="397"/>
      <c r="AV747" s="397"/>
      <c r="AW747" s="397"/>
      <c r="AX747" s="397"/>
      <c r="AY747" s="397"/>
      <c r="AZ747" s="397"/>
      <c r="BA747" s="397"/>
      <c r="BB747" s="397"/>
      <c r="BC747" s="397"/>
    </row>
    <row r="748" spans="1:55" s="40" customFormat="1" x14ac:dyDescent="0.4">
      <c r="A748" s="50"/>
      <c r="B748" s="1038"/>
      <c r="C748" s="1038"/>
      <c r="D748" s="245" t="s">
        <v>48</v>
      </c>
      <c r="F748" s="397"/>
      <c r="G748" s="397"/>
      <c r="H748" s="240"/>
      <c r="I748" s="397"/>
      <c r="J748" s="397"/>
      <c r="K748" s="397"/>
      <c r="L748" s="397"/>
      <c r="M748" s="397"/>
      <c r="N748" s="397"/>
      <c r="O748" s="397"/>
      <c r="P748" s="397"/>
      <c r="Q748" s="397"/>
      <c r="R748" s="397"/>
      <c r="S748" s="397"/>
      <c r="T748" s="397"/>
      <c r="U748" s="397"/>
      <c r="V748" s="397"/>
      <c r="W748" s="397"/>
      <c r="X748" s="397"/>
      <c r="Y748" s="397"/>
      <c r="Z748" s="397"/>
      <c r="AA748" s="397"/>
      <c r="AB748" s="397"/>
      <c r="AC748" s="397"/>
      <c r="AD748" s="762"/>
      <c r="AH748" s="397"/>
      <c r="AI748" s="397"/>
      <c r="AJ748" s="397"/>
      <c r="AK748" s="397"/>
      <c r="AL748" s="397"/>
      <c r="AM748" s="397"/>
      <c r="AN748" s="397"/>
      <c r="AO748" s="397"/>
      <c r="AP748" s="397"/>
      <c r="AQ748" s="397"/>
      <c r="AR748" s="397"/>
      <c r="AS748" s="397"/>
      <c r="AT748" s="397"/>
      <c r="AU748" s="397"/>
      <c r="AV748" s="397"/>
      <c r="AW748" s="397"/>
      <c r="AX748" s="397"/>
      <c r="AY748" s="397"/>
      <c r="AZ748" s="397"/>
      <c r="BA748" s="397"/>
      <c r="BB748" s="397"/>
      <c r="BC748" s="397"/>
    </row>
    <row r="749" spans="1:55" s="40" customFormat="1" x14ac:dyDescent="0.4">
      <c r="A749" s="50"/>
      <c r="B749" s="1038"/>
      <c r="C749" s="1038"/>
      <c r="D749" s="245" t="s">
        <v>48</v>
      </c>
      <c r="F749" s="397"/>
      <c r="G749" s="397"/>
      <c r="H749" s="240"/>
      <c r="I749" s="397"/>
      <c r="J749" s="397"/>
      <c r="K749" s="397"/>
      <c r="L749" s="397"/>
      <c r="M749" s="397"/>
      <c r="N749" s="397"/>
      <c r="O749" s="397"/>
      <c r="P749" s="397"/>
      <c r="Q749" s="397"/>
      <c r="R749" s="397"/>
      <c r="S749" s="397"/>
      <c r="T749" s="397"/>
      <c r="U749" s="397"/>
      <c r="V749" s="397"/>
      <c r="W749" s="397"/>
      <c r="X749" s="397"/>
      <c r="Y749" s="397"/>
      <c r="Z749" s="397"/>
      <c r="AA749" s="397"/>
      <c r="AB749" s="397"/>
      <c r="AC749" s="397"/>
      <c r="AD749" s="762"/>
      <c r="AH749" s="397"/>
      <c r="AI749" s="397"/>
      <c r="AJ749" s="397"/>
      <c r="AK749" s="397"/>
      <c r="AL749" s="397"/>
      <c r="AM749" s="397"/>
      <c r="AN749" s="397"/>
      <c r="AO749" s="397"/>
      <c r="AP749" s="397"/>
      <c r="AQ749" s="397"/>
      <c r="AR749" s="397"/>
      <c r="AS749" s="397"/>
      <c r="AT749" s="397"/>
      <c r="AU749" s="397"/>
      <c r="AV749" s="397"/>
      <c r="AW749" s="397"/>
      <c r="AX749" s="397"/>
      <c r="AY749" s="397"/>
      <c r="AZ749" s="397"/>
      <c r="BA749" s="397"/>
      <c r="BB749" s="397"/>
      <c r="BC749" s="397"/>
    </row>
    <row r="750" spans="1:55" s="40" customFormat="1" x14ac:dyDescent="0.4">
      <c r="A750" s="50"/>
      <c r="B750" s="1038"/>
      <c r="C750" s="1038"/>
      <c r="D750" s="245" t="s">
        <v>48</v>
      </c>
      <c r="F750" s="397"/>
      <c r="G750" s="397"/>
      <c r="H750" s="240"/>
      <c r="I750" s="397"/>
      <c r="J750" s="397"/>
      <c r="K750" s="397"/>
      <c r="L750" s="397"/>
      <c r="M750" s="397"/>
      <c r="N750" s="397"/>
      <c r="O750" s="397"/>
      <c r="P750" s="397"/>
      <c r="Q750" s="397"/>
      <c r="R750" s="397"/>
      <c r="S750" s="397"/>
      <c r="T750" s="397"/>
      <c r="U750" s="397"/>
      <c r="V750" s="397"/>
      <c r="W750" s="397"/>
      <c r="X750" s="397"/>
      <c r="Y750" s="397"/>
      <c r="Z750" s="397"/>
      <c r="AA750" s="397"/>
      <c r="AB750" s="397"/>
      <c r="AC750" s="397"/>
      <c r="AD750" s="762"/>
      <c r="AH750" s="397"/>
      <c r="AI750" s="397"/>
      <c r="AJ750" s="397"/>
      <c r="AK750" s="397"/>
      <c r="AL750" s="397"/>
      <c r="AM750" s="397"/>
      <c r="AN750" s="397"/>
      <c r="AO750" s="397"/>
      <c r="AP750" s="397"/>
      <c r="AQ750" s="397"/>
      <c r="AR750" s="397"/>
      <c r="AS750" s="397"/>
      <c r="AT750" s="397"/>
      <c r="AU750" s="397"/>
      <c r="AV750" s="397"/>
      <c r="AW750" s="397"/>
      <c r="AX750" s="397"/>
      <c r="AY750" s="397"/>
      <c r="AZ750" s="397"/>
      <c r="BA750" s="397"/>
      <c r="BB750" s="397"/>
      <c r="BC750" s="397"/>
    </row>
    <row r="751" spans="1:55" s="40" customFormat="1" x14ac:dyDescent="0.4">
      <c r="A751" s="50"/>
      <c r="B751" s="1038"/>
      <c r="C751" s="1038"/>
      <c r="D751" s="245" t="s">
        <v>48</v>
      </c>
      <c r="F751" s="397"/>
      <c r="G751" s="397"/>
      <c r="H751" s="240"/>
      <c r="I751" s="397"/>
      <c r="J751" s="397"/>
      <c r="K751" s="397"/>
      <c r="L751" s="397"/>
      <c r="M751" s="397"/>
      <c r="N751" s="397"/>
      <c r="O751" s="397"/>
      <c r="P751" s="397"/>
      <c r="Q751" s="397"/>
      <c r="R751" s="397"/>
      <c r="S751" s="397"/>
      <c r="T751" s="397"/>
      <c r="U751" s="397"/>
      <c r="V751" s="397"/>
      <c r="W751" s="397"/>
      <c r="X751" s="397"/>
      <c r="Y751" s="397"/>
      <c r="Z751" s="397"/>
      <c r="AA751" s="397"/>
      <c r="AB751" s="397"/>
      <c r="AC751" s="397"/>
      <c r="AD751" s="762"/>
      <c r="AH751" s="397"/>
      <c r="AI751" s="397"/>
      <c r="AJ751" s="397"/>
      <c r="AK751" s="397"/>
      <c r="AL751" s="397"/>
      <c r="AM751" s="397"/>
      <c r="AN751" s="397"/>
      <c r="AO751" s="397"/>
      <c r="AP751" s="397"/>
      <c r="AQ751" s="397"/>
      <c r="AR751" s="397"/>
      <c r="AS751" s="397"/>
      <c r="AT751" s="397"/>
      <c r="AU751" s="397"/>
      <c r="AV751" s="397"/>
      <c r="AW751" s="397"/>
      <c r="AX751" s="397"/>
      <c r="AY751" s="397"/>
      <c r="AZ751" s="397"/>
      <c r="BA751" s="397"/>
      <c r="BB751" s="397"/>
      <c r="BC751" s="397"/>
    </row>
    <row r="752" spans="1:55" s="40" customFormat="1" x14ac:dyDescent="0.4">
      <c r="A752" s="50"/>
      <c r="B752" s="1038"/>
      <c r="C752" s="1038"/>
      <c r="D752" s="245" t="s">
        <v>48</v>
      </c>
      <c r="F752" s="397"/>
      <c r="G752" s="397"/>
      <c r="H752" s="240"/>
      <c r="I752" s="397"/>
      <c r="J752" s="397"/>
      <c r="K752" s="397"/>
      <c r="L752" s="397"/>
      <c r="M752" s="397"/>
      <c r="N752" s="397"/>
      <c r="O752" s="397"/>
      <c r="P752" s="397"/>
      <c r="Q752" s="397"/>
      <c r="R752" s="397"/>
      <c r="S752" s="397"/>
      <c r="T752" s="397"/>
      <c r="U752" s="397"/>
      <c r="V752" s="397"/>
      <c r="W752" s="397"/>
      <c r="X752" s="397"/>
      <c r="Y752" s="397"/>
      <c r="Z752" s="397"/>
      <c r="AA752" s="397"/>
      <c r="AB752" s="397"/>
      <c r="AC752" s="397"/>
      <c r="AD752" s="762"/>
      <c r="AH752" s="397"/>
      <c r="AI752" s="397"/>
      <c r="AJ752" s="397"/>
      <c r="AK752" s="397"/>
      <c r="AL752" s="397"/>
      <c r="AM752" s="397"/>
      <c r="AN752" s="397"/>
      <c r="AO752" s="397"/>
      <c r="AP752" s="397"/>
      <c r="AQ752" s="397"/>
      <c r="AR752" s="397"/>
      <c r="AS752" s="397"/>
      <c r="AT752" s="397"/>
      <c r="AU752" s="397"/>
      <c r="AV752" s="397"/>
      <c r="AW752" s="397"/>
      <c r="AX752" s="397"/>
      <c r="AY752" s="397"/>
      <c r="AZ752" s="397"/>
      <c r="BA752" s="397"/>
      <c r="BB752" s="397"/>
      <c r="BC752" s="397"/>
    </row>
    <row r="753" spans="1:55" s="40" customFormat="1" x14ac:dyDescent="0.4">
      <c r="A753" s="50"/>
      <c r="B753" s="1038"/>
      <c r="C753" s="1038"/>
      <c r="D753" s="245" t="s">
        <v>48</v>
      </c>
      <c r="F753" s="397"/>
      <c r="G753" s="397"/>
      <c r="H753" s="240"/>
      <c r="I753" s="397"/>
      <c r="J753" s="397"/>
      <c r="K753" s="397"/>
      <c r="L753" s="397"/>
      <c r="M753" s="397"/>
      <c r="N753" s="397"/>
      <c r="O753" s="397"/>
      <c r="P753" s="397"/>
      <c r="Q753" s="397"/>
      <c r="R753" s="397"/>
      <c r="S753" s="397"/>
      <c r="T753" s="397"/>
      <c r="U753" s="397"/>
      <c r="V753" s="397"/>
      <c r="W753" s="397"/>
      <c r="X753" s="397"/>
      <c r="Y753" s="397"/>
      <c r="Z753" s="397"/>
      <c r="AA753" s="397"/>
      <c r="AB753" s="397"/>
      <c r="AC753" s="397"/>
      <c r="AD753" s="762"/>
      <c r="AH753" s="397"/>
      <c r="AI753" s="397"/>
      <c r="AJ753" s="397"/>
      <c r="AK753" s="397"/>
      <c r="AL753" s="397"/>
      <c r="AM753" s="397"/>
      <c r="AN753" s="397"/>
      <c r="AO753" s="397"/>
      <c r="AP753" s="397"/>
      <c r="AQ753" s="397"/>
      <c r="AR753" s="397"/>
      <c r="AS753" s="397"/>
      <c r="AT753" s="397"/>
      <c r="AU753" s="397"/>
      <c r="AV753" s="397"/>
      <c r="AW753" s="397"/>
      <c r="AX753" s="397"/>
      <c r="AY753" s="397"/>
      <c r="AZ753" s="397"/>
      <c r="BA753" s="397"/>
      <c r="BB753" s="397"/>
      <c r="BC753" s="397"/>
    </row>
    <row r="754" spans="1:55" s="40" customFormat="1" x14ac:dyDescent="0.4">
      <c r="A754" s="50"/>
      <c r="B754" s="1038"/>
      <c r="C754" s="1038"/>
      <c r="D754" s="245" t="s">
        <v>48</v>
      </c>
      <c r="F754" s="397"/>
      <c r="G754" s="397"/>
      <c r="H754" s="240"/>
      <c r="I754" s="397"/>
      <c r="J754" s="397"/>
      <c r="K754" s="397"/>
      <c r="L754" s="397"/>
      <c r="M754" s="397"/>
      <c r="N754" s="397"/>
      <c r="O754" s="397"/>
      <c r="P754" s="397"/>
      <c r="Q754" s="397"/>
      <c r="R754" s="397"/>
      <c r="S754" s="397"/>
      <c r="T754" s="397"/>
      <c r="U754" s="397"/>
      <c r="V754" s="397"/>
      <c r="W754" s="397"/>
      <c r="X754" s="397"/>
      <c r="Y754" s="397"/>
      <c r="Z754" s="397"/>
      <c r="AA754" s="397"/>
      <c r="AB754" s="397"/>
      <c r="AC754" s="397"/>
      <c r="AD754" s="762"/>
      <c r="AH754" s="397"/>
      <c r="AI754" s="397"/>
      <c r="AJ754" s="397"/>
      <c r="AK754" s="397"/>
      <c r="AL754" s="397"/>
      <c r="AM754" s="397"/>
      <c r="AN754" s="397"/>
      <c r="AO754" s="397"/>
      <c r="AP754" s="397"/>
      <c r="AQ754" s="397"/>
      <c r="AR754" s="397"/>
      <c r="AS754" s="397"/>
      <c r="AT754" s="397"/>
      <c r="AU754" s="397"/>
      <c r="AV754" s="397"/>
      <c r="AW754" s="397"/>
      <c r="AX754" s="397"/>
      <c r="AY754" s="397"/>
      <c r="AZ754" s="397"/>
      <c r="BA754" s="397"/>
      <c r="BB754" s="397"/>
      <c r="BC754" s="397"/>
    </row>
    <row r="755" spans="1:55" s="40" customFormat="1" x14ac:dyDescent="0.4">
      <c r="A755" s="50"/>
      <c r="B755" s="1038"/>
      <c r="C755" s="1038"/>
      <c r="D755" s="245" t="s">
        <v>48</v>
      </c>
      <c r="F755" s="397"/>
      <c r="G755" s="397"/>
      <c r="H755" s="240"/>
      <c r="I755" s="397"/>
      <c r="J755" s="397"/>
      <c r="K755" s="397"/>
      <c r="L755" s="397"/>
      <c r="M755" s="397"/>
      <c r="N755" s="397"/>
      <c r="O755" s="397"/>
      <c r="P755" s="397"/>
      <c r="Q755" s="397"/>
      <c r="R755" s="397"/>
      <c r="S755" s="397"/>
      <c r="T755" s="397"/>
      <c r="U755" s="397"/>
      <c r="V755" s="397"/>
      <c r="W755" s="397"/>
      <c r="X755" s="397"/>
      <c r="Y755" s="397"/>
      <c r="Z755" s="397"/>
      <c r="AA755" s="397"/>
      <c r="AB755" s="397"/>
      <c r="AC755" s="397"/>
      <c r="AD755" s="762"/>
      <c r="AH755" s="397"/>
      <c r="AI755" s="397"/>
      <c r="AJ755" s="397"/>
      <c r="AK755" s="397"/>
      <c r="AL755" s="397"/>
      <c r="AM755" s="397"/>
      <c r="AN755" s="397"/>
      <c r="AO755" s="397"/>
      <c r="AP755" s="397"/>
      <c r="AQ755" s="397"/>
      <c r="AR755" s="397"/>
      <c r="AS755" s="397"/>
      <c r="AT755" s="397"/>
      <c r="AU755" s="397"/>
      <c r="AV755" s="397"/>
      <c r="AW755" s="397"/>
      <c r="AX755" s="397"/>
      <c r="AY755" s="397"/>
      <c r="AZ755" s="397"/>
      <c r="BA755" s="397"/>
      <c r="BB755" s="397"/>
      <c r="BC755" s="397"/>
    </row>
    <row r="756" spans="1:55" s="40" customFormat="1" x14ac:dyDescent="0.4">
      <c r="A756" s="50"/>
      <c r="B756" s="1038"/>
      <c r="C756" s="1038"/>
      <c r="D756" s="245" t="s">
        <v>48</v>
      </c>
      <c r="F756" s="397"/>
      <c r="G756" s="397"/>
      <c r="H756" s="240"/>
      <c r="I756" s="397"/>
      <c r="J756" s="397"/>
      <c r="K756" s="397"/>
      <c r="L756" s="397"/>
      <c r="M756" s="397"/>
      <c r="N756" s="397"/>
      <c r="O756" s="397"/>
      <c r="P756" s="397"/>
      <c r="Q756" s="397"/>
      <c r="R756" s="397"/>
      <c r="S756" s="397"/>
      <c r="T756" s="397"/>
      <c r="U756" s="397"/>
      <c r="V756" s="397"/>
      <c r="W756" s="397"/>
      <c r="X756" s="397"/>
      <c r="Y756" s="397"/>
      <c r="Z756" s="397"/>
      <c r="AA756" s="397"/>
      <c r="AB756" s="397"/>
      <c r="AC756" s="397"/>
      <c r="AD756" s="762"/>
      <c r="AH756" s="397"/>
      <c r="AI756" s="397"/>
      <c r="AJ756" s="397"/>
      <c r="AK756" s="397"/>
      <c r="AL756" s="397"/>
      <c r="AM756" s="397"/>
      <c r="AN756" s="397"/>
      <c r="AO756" s="397"/>
      <c r="AP756" s="397"/>
      <c r="AQ756" s="397"/>
      <c r="AR756" s="397"/>
      <c r="AS756" s="397"/>
      <c r="AT756" s="397"/>
      <c r="AU756" s="397"/>
      <c r="AV756" s="397"/>
      <c r="AW756" s="397"/>
      <c r="AX756" s="397"/>
      <c r="AY756" s="397"/>
      <c r="AZ756" s="397"/>
      <c r="BA756" s="397"/>
      <c r="BB756" s="397"/>
      <c r="BC756" s="397"/>
    </row>
    <row r="757" spans="1:55" s="40" customFormat="1" x14ac:dyDescent="0.4">
      <c r="A757" s="50"/>
      <c r="B757" s="1038"/>
      <c r="C757" s="1038"/>
      <c r="D757" s="245" t="s">
        <v>48</v>
      </c>
      <c r="F757" s="397"/>
      <c r="G757" s="397"/>
      <c r="H757" s="240"/>
      <c r="I757" s="397"/>
      <c r="J757" s="397"/>
      <c r="K757" s="397"/>
      <c r="L757" s="397"/>
      <c r="M757" s="397"/>
      <c r="N757" s="397"/>
      <c r="O757" s="397"/>
      <c r="P757" s="397"/>
      <c r="Q757" s="397"/>
      <c r="R757" s="397"/>
      <c r="S757" s="397"/>
      <c r="T757" s="397"/>
      <c r="U757" s="397"/>
      <c r="V757" s="397"/>
      <c r="W757" s="397"/>
      <c r="X757" s="397"/>
      <c r="Y757" s="397"/>
      <c r="Z757" s="397"/>
      <c r="AA757" s="397"/>
      <c r="AB757" s="397"/>
      <c r="AC757" s="397"/>
      <c r="AD757" s="762"/>
      <c r="AH757" s="397"/>
      <c r="AI757" s="397"/>
      <c r="AJ757" s="397"/>
      <c r="AK757" s="397"/>
      <c r="AL757" s="397"/>
      <c r="AM757" s="397"/>
      <c r="AN757" s="397"/>
      <c r="AO757" s="397"/>
      <c r="AP757" s="397"/>
      <c r="AQ757" s="397"/>
      <c r="AR757" s="397"/>
      <c r="AS757" s="397"/>
      <c r="AT757" s="397"/>
      <c r="AU757" s="397"/>
      <c r="AV757" s="397"/>
      <c r="AW757" s="397"/>
      <c r="AX757" s="397"/>
      <c r="AY757" s="397"/>
      <c r="AZ757" s="397"/>
      <c r="BA757" s="397"/>
      <c r="BB757" s="397"/>
      <c r="BC757" s="397"/>
    </row>
    <row r="758" spans="1:55" s="40" customFormat="1" x14ac:dyDescent="0.4">
      <c r="A758" s="50"/>
      <c r="B758" s="1038"/>
      <c r="C758" s="1038"/>
      <c r="D758" s="245" t="s">
        <v>48</v>
      </c>
      <c r="F758" s="397"/>
      <c r="G758" s="397"/>
      <c r="H758" s="240"/>
      <c r="I758" s="397"/>
      <c r="J758" s="397"/>
      <c r="K758" s="397"/>
      <c r="L758" s="397"/>
      <c r="M758" s="397"/>
      <c r="N758" s="397"/>
      <c r="O758" s="397"/>
      <c r="P758" s="397"/>
      <c r="Q758" s="397"/>
      <c r="R758" s="397"/>
      <c r="S758" s="397"/>
      <c r="T758" s="397"/>
      <c r="U758" s="397"/>
      <c r="V758" s="397"/>
      <c r="W758" s="397"/>
      <c r="X758" s="397"/>
      <c r="Y758" s="397"/>
      <c r="Z758" s="397"/>
      <c r="AA758" s="397"/>
      <c r="AB758" s="397"/>
      <c r="AC758" s="397"/>
      <c r="AD758" s="762"/>
      <c r="AH758" s="397"/>
      <c r="AI758" s="397"/>
      <c r="AJ758" s="397"/>
      <c r="AK758" s="397"/>
      <c r="AL758" s="397"/>
      <c r="AM758" s="397"/>
      <c r="AN758" s="397"/>
      <c r="AO758" s="397"/>
      <c r="AP758" s="397"/>
      <c r="AQ758" s="397"/>
      <c r="AR758" s="397"/>
      <c r="AS758" s="397"/>
      <c r="AT758" s="397"/>
      <c r="AU758" s="397"/>
      <c r="AV758" s="397"/>
      <c r="AW758" s="397"/>
      <c r="AX758" s="397"/>
      <c r="AY758" s="397"/>
      <c r="AZ758" s="397"/>
      <c r="BA758" s="397"/>
      <c r="BB758" s="397"/>
      <c r="BC758" s="397"/>
    </row>
    <row r="759" spans="1:55" s="40" customFormat="1" x14ac:dyDescent="0.4">
      <c r="A759" s="50"/>
      <c r="B759" s="1038"/>
      <c r="C759" s="1038"/>
      <c r="D759" s="245" t="s">
        <v>48</v>
      </c>
      <c r="F759" s="397"/>
      <c r="G759" s="397"/>
      <c r="H759" s="240"/>
      <c r="I759" s="397"/>
      <c r="J759" s="397"/>
      <c r="K759" s="397"/>
      <c r="L759" s="397"/>
      <c r="M759" s="397"/>
      <c r="N759" s="397"/>
      <c r="O759" s="397"/>
      <c r="P759" s="397"/>
      <c r="Q759" s="397"/>
      <c r="R759" s="397"/>
      <c r="S759" s="397"/>
      <c r="T759" s="397"/>
      <c r="U759" s="397"/>
      <c r="V759" s="397"/>
      <c r="W759" s="397"/>
      <c r="X759" s="397"/>
      <c r="Y759" s="397"/>
      <c r="Z759" s="397"/>
      <c r="AA759" s="397"/>
      <c r="AB759" s="397"/>
      <c r="AC759" s="397"/>
      <c r="AD759" s="762"/>
      <c r="AH759" s="397"/>
      <c r="AI759" s="397"/>
      <c r="AJ759" s="397"/>
      <c r="AK759" s="397"/>
      <c r="AL759" s="397"/>
      <c r="AM759" s="397"/>
      <c r="AN759" s="397"/>
      <c r="AO759" s="397"/>
      <c r="AP759" s="397"/>
      <c r="AQ759" s="397"/>
      <c r="AR759" s="397"/>
      <c r="AS759" s="397"/>
      <c r="AT759" s="397"/>
      <c r="AU759" s="397"/>
      <c r="AV759" s="397"/>
      <c r="AW759" s="397"/>
      <c r="AX759" s="397"/>
      <c r="AY759" s="397"/>
      <c r="AZ759" s="397"/>
      <c r="BA759" s="397"/>
      <c r="BB759" s="397"/>
      <c r="BC759" s="397"/>
    </row>
    <row r="760" spans="1:55" s="40" customFormat="1" x14ac:dyDescent="0.4">
      <c r="A760" s="50"/>
      <c r="B760" s="1038"/>
      <c r="C760" s="1038"/>
      <c r="D760" s="245" t="s">
        <v>48</v>
      </c>
      <c r="F760" s="397"/>
      <c r="G760" s="397"/>
      <c r="H760" s="240"/>
      <c r="I760" s="397"/>
      <c r="J760" s="397"/>
      <c r="K760" s="397"/>
      <c r="L760" s="397"/>
      <c r="M760" s="397"/>
      <c r="N760" s="397"/>
      <c r="O760" s="397"/>
      <c r="P760" s="397"/>
      <c r="Q760" s="397"/>
      <c r="R760" s="397"/>
      <c r="S760" s="397"/>
      <c r="T760" s="397"/>
      <c r="U760" s="397"/>
      <c r="V760" s="397"/>
      <c r="W760" s="397"/>
      <c r="X760" s="397"/>
      <c r="Y760" s="397"/>
      <c r="Z760" s="397"/>
      <c r="AA760" s="397"/>
      <c r="AB760" s="397"/>
      <c r="AC760" s="397"/>
      <c r="AD760" s="762"/>
      <c r="AH760" s="397"/>
      <c r="AI760" s="397"/>
      <c r="AJ760" s="397"/>
      <c r="AK760" s="397"/>
      <c r="AL760" s="397"/>
      <c r="AM760" s="397"/>
      <c r="AN760" s="397"/>
      <c r="AO760" s="397"/>
      <c r="AP760" s="397"/>
      <c r="AQ760" s="397"/>
      <c r="AR760" s="397"/>
      <c r="AS760" s="397"/>
      <c r="AT760" s="397"/>
      <c r="AU760" s="397"/>
      <c r="AV760" s="397"/>
      <c r="AW760" s="397"/>
      <c r="AX760" s="397"/>
      <c r="AY760" s="397"/>
      <c r="AZ760" s="397"/>
      <c r="BA760" s="397"/>
      <c r="BB760" s="397"/>
      <c r="BC760" s="397"/>
    </row>
    <row r="761" spans="1:55" s="40" customFormat="1" x14ac:dyDescent="0.4">
      <c r="A761" s="50"/>
      <c r="B761" s="1038"/>
      <c r="C761" s="1038"/>
      <c r="D761" s="245" t="s">
        <v>48</v>
      </c>
      <c r="F761" s="397"/>
      <c r="G761" s="397"/>
      <c r="H761" s="240"/>
      <c r="I761" s="397"/>
      <c r="J761" s="397"/>
      <c r="K761" s="397"/>
      <c r="L761" s="397"/>
      <c r="M761" s="397"/>
      <c r="N761" s="397"/>
      <c r="O761" s="397"/>
      <c r="P761" s="397"/>
      <c r="Q761" s="397"/>
      <c r="R761" s="397"/>
      <c r="S761" s="397"/>
      <c r="T761" s="397"/>
      <c r="U761" s="397"/>
      <c r="V761" s="397"/>
      <c r="W761" s="397"/>
      <c r="X761" s="397"/>
      <c r="Y761" s="397"/>
      <c r="Z761" s="397"/>
      <c r="AA761" s="397"/>
      <c r="AB761" s="397"/>
      <c r="AC761" s="397"/>
      <c r="AD761" s="762"/>
      <c r="AH761" s="397"/>
      <c r="AI761" s="397"/>
      <c r="AJ761" s="397"/>
      <c r="AK761" s="397"/>
      <c r="AL761" s="397"/>
      <c r="AM761" s="397"/>
      <c r="AN761" s="397"/>
      <c r="AO761" s="397"/>
      <c r="AP761" s="397"/>
      <c r="AQ761" s="397"/>
      <c r="AR761" s="397"/>
      <c r="AS761" s="397"/>
      <c r="AT761" s="397"/>
      <c r="AU761" s="397"/>
      <c r="AV761" s="397"/>
      <c r="AW761" s="397"/>
      <c r="AX761" s="397"/>
      <c r="AY761" s="397"/>
      <c r="AZ761" s="397"/>
      <c r="BA761" s="397"/>
      <c r="BB761" s="397"/>
      <c r="BC761" s="397"/>
    </row>
    <row r="762" spans="1:55" s="40" customFormat="1" x14ac:dyDescent="0.4">
      <c r="A762" s="50"/>
      <c r="B762" s="1038"/>
      <c r="C762" s="1038"/>
      <c r="D762" s="245"/>
      <c r="F762" s="397"/>
      <c r="G762" s="397"/>
      <c r="H762" s="240"/>
      <c r="I762" s="397"/>
      <c r="J762" s="397"/>
      <c r="K762" s="397"/>
      <c r="L762" s="397"/>
      <c r="M762" s="397"/>
      <c r="N762" s="397"/>
      <c r="O762" s="397"/>
      <c r="P762" s="397"/>
      <c r="Q762" s="397"/>
      <c r="R762" s="397"/>
      <c r="S762" s="397"/>
      <c r="T762" s="397"/>
      <c r="U762" s="397"/>
      <c r="V762" s="397"/>
      <c r="W762" s="397"/>
      <c r="X762" s="397"/>
      <c r="Y762" s="397"/>
      <c r="Z762" s="397"/>
      <c r="AA762" s="397"/>
      <c r="AB762" s="397"/>
      <c r="AC762" s="397"/>
      <c r="AD762" s="762"/>
      <c r="AH762" s="397"/>
      <c r="AI762" s="397"/>
      <c r="AJ762" s="397"/>
      <c r="AK762" s="397"/>
      <c r="AL762" s="397"/>
      <c r="AM762" s="397"/>
      <c r="AN762" s="397"/>
      <c r="AO762" s="397"/>
      <c r="AP762" s="397"/>
      <c r="AQ762" s="397"/>
      <c r="AR762" s="397"/>
      <c r="AS762" s="397"/>
      <c r="AT762" s="397"/>
      <c r="AU762" s="397"/>
      <c r="AV762" s="397"/>
      <c r="AW762" s="397"/>
      <c r="AX762" s="397"/>
      <c r="AY762" s="397"/>
      <c r="AZ762" s="397"/>
      <c r="BA762" s="397"/>
      <c r="BB762" s="397"/>
      <c r="BC762" s="397"/>
    </row>
    <row r="763" spans="1:55" s="999" customFormat="1" ht="27" customHeight="1" x14ac:dyDescent="0.4">
      <c r="A763" s="1047"/>
      <c r="B763" s="1047"/>
      <c r="C763" s="1047"/>
      <c r="E763" s="999" t="str">
        <f>$E$211</f>
        <v>FRAMREIKNUÐ LOSUN</v>
      </c>
      <c r="F763" s="1000"/>
      <c r="G763" s="1000"/>
      <c r="H763" s="1000"/>
      <c r="I763" s="1000"/>
      <c r="J763" s="1000"/>
      <c r="K763" s="1000"/>
      <c r="L763" s="1000"/>
      <c r="M763" s="1000"/>
      <c r="N763" s="1000"/>
      <c r="O763" s="1000"/>
      <c r="P763" s="1000"/>
      <c r="Q763" s="1000"/>
      <c r="R763" s="1000"/>
      <c r="S763" s="1000"/>
      <c r="T763" s="1000"/>
      <c r="U763" s="1000"/>
      <c r="V763" s="1000"/>
      <c r="W763" s="1000"/>
      <c r="X763" s="1000"/>
      <c r="Y763" s="1000"/>
      <c r="Z763" s="1000"/>
      <c r="AA763" s="1000"/>
      <c r="AB763" s="1000"/>
      <c r="AC763" s="1000"/>
      <c r="AD763" s="1001"/>
      <c r="AG763" s="999" t="str">
        <f>$AG$211</f>
        <v>EMISSION PROJECTIONS</v>
      </c>
      <c r="AH763" s="1000"/>
      <c r="AI763" s="1000"/>
      <c r="AJ763" s="1000"/>
      <c r="AK763" s="1000"/>
      <c r="AL763" s="1000"/>
      <c r="AM763" s="1000"/>
      <c r="AN763" s="1000"/>
      <c r="AO763" s="1000"/>
      <c r="AP763" s="1000"/>
      <c r="AQ763" s="1000"/>
      <c r="AR763" s="1000"/>
      <c r="AS763" s="1000"/>
      <c r="AT763" s="1000"/>
      <c r="AU763" s="1000"/>
      <c r="AV763" s="1000"/>
      <c r="AW763" s="1000"/>
      <c r="AX763" s="1000"/>
      <c r="AY763" s="1000"/>
      <c r="AZ763" s="1000"/>
      <c r="BA763" s="1000"/>
      <c r="BB763" s="1000"/>
      <c r="BC763" s="1000"/>
    </row>
    <row r="764" spans="1:55" s="40" customFormat="1" x14ac:dyDescent="0.4">
      <c r="A764" s="50"/>
      <c r="B764" s="1038"/>
      <c r="C764" s="1038"/>
      <c r="D764" s="245" t="s">
        <v>48</v>
      </c>
      <c r="F764" s="397"/>
      <c r="G764" s="397"/>
      <c r="H764" s="240"/>
      <c r="I764" s="397"/>
      <c r="J764" s="397"/>
      <c r="K764" s="397"/>
      <c r="L764" s="397"/>
      <c r="M764" s="397"/>
      <c r="N764" s="397"/>
      <c r="O764" s="397"/>
      <c r="P764" s="397"/>
      <c r="Q764" s="397"/>
      <c r="R764" s="397"/>
      <c r="S764" s="397"/>
      <c r="T764" s="397"/>
      <c r="U764" s="397"/>
      <c r="V764" s="397"/>
      <c r="W764" s="397"/>
      <c r="X764" s="397"/>
      <c r="Y764" s="397"/>
      <c r="Z764" s="397"/>
      <c r="AA764" s="397"/>
      <c r="AB764" s="397"/>
      <c r="AC764" s="397"/>
      <c r="AD764" s="762"/>
      <c r="AH764" s="397"/>
      <c r="AI764" s="397"/>
      <c r="AJ764" s="397"/>
      <c r="AK764" s="397"/>
      <c r="AL764" s="397"/>
      <c r="AM764" s="397"/>
      <c r="AN764" s="397"/>
      <c r="AO764" s="397"/>
      <c r="AP764" s="397"/>
      <c r="AQ764" s="397"/>
      <c r="AR764" s="397"/>
      <c r="AS764" s="397"/>
      <c r="AT764" s="397"/>
      <c r="AU764" s="397"/>
      <c r="AV764" s="397"/>
      <c r="AW764" s="397"/>
      <c r="AX764" s="397"/>
      <c r="AY764" s="397"/>
      <c r="AZ764" s="397"/>
      <c r="BA764" s="397"/>
      <c r="BB764" s="397"/>
      <c r="BC764" s="397"/>
    </row>
    <row r="765" spans="1:55" s="40" customFormat="1" x14ac:dyDescent="0.4">
      <c r="A765" s="50"/>
      <c r="B765" s="1038"/>
      <c r="C765" s="1038"/>
      <c r="D765" s="245" t="s">
        <v>48</v>
      </c>
      <c r="F765" s="397"/>
      <c r="G765" s="397"/>
      <c r="H765" s="240"/>
      <c r="I765" s="397"/>
      <c r="J765" s="397"/>
      <c r="K765" s="397"/>
      <c r="L765" s="397"/>
      <c r="M765" s="397"/>
      <c r="N765" s="397"/>
      <c r="O765" s="397"/>
      <c r="P765" s="397"/>
      <c r="Q765" s="397"/>
      <c r="R765" s="397"/>
      <c r="S765" s="397"/>
      <c r="T765" s="397"/>
      <c r="U765" s="397"/>
      <c r="V765" s="397"/>
      <c r="W765" s="397"/>
      <c r="X765" s="397"/>
      <c r="Y765" s="397"/>
      <c r="Z765" s="397"/>
      <c r="AA765" s="397"/>
      <c r="AB765" s="397"/>
      <c r="AC765" s="397"/>
      <c r="AD765" s="762"/>
      <c r="AH765" s="397"/>
      <c r="AI765" s="397"/>
      <c r="AJ765" s="397"/>
      <c r="AK765" s="397"/>
      <c r="AL765" s="397"/>
      <c r="AM765" s="397"/>
      <c r="AN765" s="397"/>
      <c r="AO765" s="397"/>
      <c r="AP765" s="397"/>
      <c r="AQ765" s="397"/>
      <c r="AR765" s="397"/>
      <c r="AS765" s="397"/>
      <c r="AT765" s="397"/>
      <c r="AU765" s="397"/>
      <c r="AV765" s="397"/>
      <c r="AW765" s="397"/>
      <c r="AX765" s="397"/>
      <c r="AY765" s="397"/>
      <c r="AZ765" s="397"/>
      <c r="BA765" s="397"/>
      <c r="BB765" s="397"/>
      <c r="BC765" s="397"/>
    </row>
    <row r="766" spans="1:55" s="40" customFormat="1" ht="13.5" customHeight="1" x14ac:dyDescent="0.4">
      <c r="A766" s="50"/>
      <c r="B766" s="1040"/>
      <c r="C766" s="1040"/>
      <c r="D766" s="245" t="s">
        <v>48</v>
      </c>
      <c r="E766" s="246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397"/>
      <c r="S766" s="397"/>
      <c r="T766" s="397"/>
      <c r="U766" s="397"/>
      <c r="V766" s="397"/>
      <c r="W766" s="397"/>
      <c r="X766" s="397"/>
      <c r="Y766" s="397"/>
      <c r="Z766" s="397"/>
      <c r="AA766" s="397"/>
      <c r="AB766" s="397"/>
      <c r="AC766" s="397"/>
      <c r="AD766" s="762"/>
      <c r="AH766" s="397"/>
      <c r="AI766" s="397"/>
      <c r="AJ766" s="397"/>
      <c r="AK766" s="397"/>
      <c r="AL766" s="397"/>
      <c r="AM766" s="397"/>
      <c r="AN766" s="397"/>
      <c r="AO766" s="397"/>
      <c r="AP766" s="397"/>
      <c r="AQ766" s="397"/>
      <c r="AR766" s="397"/>
      <c r="AS766" s="397"/>
      <c r="AT766" s="397"/>
      <c r="AU766" s="397"/>
      <c r="AV766" s="397"/>
      <c r="AW766" s="397"/>
      <c r="AX766" s="397"/>
      <c r="AY766" s="397"/>
      <c r="AZ766" s="397"/>
      <c r="BA766" s="397"/>
      <c r="BB766" s="397"/>
      <c r="BC766" s="397"/>
    </row>
    <row r="767" spans="1:55" s="40" customFormat="1" x14ac:dyDescent="0.4">
      <c r="A767" s="50"/>
      <c r="B767" s="1038"/>
      <c r="C767" s="1038"/>
      <c r="D767" s="245" t="s">
        <v>48</v>
      </c>
      <c r="F767" s="397"/>
      <c r="G767" s="397"/>
      <c r="H767" s="240"/>
      <c r="I767" s="397"/>
      <c r="J767" s="397"/>
      <c r="K767" s="397"/>
      <c r="L767" s="397"/>
      <c r="M767" s="397"/>
      <c r="N767" s="397"/>
      <c r="O767" s="397"/>
      <c r="P767" s="397"/>
      <c r="Q767" s="397"/>
      <c r="R767" s="397"/>
      <c r="S767" s="397"/>
      <c r="T767" s="397"/>
      <c r="U767" s="397"/>
      <c r="V767" s="397"/>
      <c r="W767" s="397"/>
      <c r="X767" s="397"/>
      <c r="Y767" s="397"/>
      <c r="Z767" s="397"/>
      <c r="AA767" s="397"/>
      <c r="AB767" s="397"/>
      <c r="AC767" s="397"/>
      <c r="AD767" s="762"/>
      <c r="AH767" s="397"/>
      <c r="AI767" s="397"/>
      <c r="AJ767" s="397"/>
      <c r="AK767" s="397"/>
      <c r="AL767" s="397"/>
      <c r="AM767" s="397"/>
      <c r="AN767" s="397"/>
      <c r="AO767" s="397"/>
      <c r="AP767" s="397"/>
      <c r="AQ767" s="397"/>
      <c r="AR767" s="397"/>
      <c r="AS767" s="397"/>
      <c r="AT767" s="397"/>
      <c r="AU767" s="397"/>
      <c r="AV767" s="397"/>
      <c r="AW767" s="397"/>
      <c r="AX767" s="397"/>
      <c r="AY767" s="397"/>
      <c r="AZ767" s="397"/>
      <c r="BA767" s="397"/>
      <c r="BB767" s="397"/>
      <c r="BC767" s="397"/>
    </row>
    <row r="768" spans="1:55" s="40" customFormat="1" x14ac:dyDescent="0.4">
      <c r="A768" s="50"/>
      <c r="B768" s="1038"/>
      <c r="C768" s="1038"/>
      <c r="D768" s="245" t="s">
        <v>48</v>
      </c>
      <c r="F768" s="397"/>
      <c r="G768" s="397"/>
      <c r="H768" s="240"/>
      <c r="I768" s="397"/>
      <c r="J768" s="397"/>
      <c r="K768" s="397"/>
      <c r="L768" s="397"/>
      <c r="M768" s="397"/>
      <c r="N768" s="397"/>
      <c r="O768" s="397"/>
      <c r="P768" s="397"/>
      <c r="Q768" s="397"/>
      <c r="R768" s="397"/>
      <c r="S768" s="397"/>
      <c r="T768" s="397"/>
      <c r="U768" s="397"/>
      <c r="V768" s="397"/>
      <c r="W768" s="397"/>
      <c r="X768" s="397"/>
      <c r="Y768" s="397"/>
      <c r="Z768" s="397"/>
      <c r="AA768" s="397"/>
      <c r="AB768" s="397"/>
      <c r="AC768" s="397"/>
      <c r="AD768" s="762"/>
      <c r="AH768" s="397"/>
      <c r="AI768" s="397"/>
      <c r="AJ768" s="397"/>
      <c r="AK768" s="397"/>
      <c r="AL768" s="397"/>
      <c r="AM768" s="397"/>
      <c r="AN768" s="397"/>
      <c r="AO768" s="397"/>
      <c r="AP768" s="397"/>
      <c r="AQ768" s="397"/>
      <c r="AR768" s="397"/>
      <c r="AS768" s="397"/>
      <c r="AT768" s="397"/>
      <c r="AU768" s="397"/>
      <c r="AV768" s="397"/>
      <c r="AW768" s="397"/>
      <c r="AX768" s="397"/>
      <c r="AY768" s="397"/>
      <c r="AZ768" s="397"/>
      <c r="BA768" s="397"/>
      <c r="BB768" s="397"/>
      <c r="BC768" s="397"/>
    </row>
  </sheetData>
  <mergeCells count="225">
    <mergeCell ref="AX155:AY155"/>
    <mergeCell ref="BA155:BB155"/>
    <mergeCell ref="AX156:AY156"/>
    <mergeCell ref="BA156:BB156"/>
    <mergeCell ref="AV245:AW245"/>
    <mergeCell ref="AV422:AW422"/>
    <mergeCell ref="AX154:AY154"/>
    <mergeCell ref="BA154:BB154"/>
    <mergeCell ref="AX148:AY148"/>
    <mergeCell ref="BA148:BB148"/>
    <mergeCell ref="AX152:AY152"/>
    <mergeCell ref="BA152:BB152"/>
    <mergeCell ref="AX150:AY150"/>
    <mergeCell ref="BA150:BB150"/>
    <mergeCell ref="AX153:AY153"/>
    <mergeCell ref="BA153:BB153"/>
    <mergeCell ref="AQ145:AQ147"/>
    <mergeCell ref="AR145:AU145"/>
    <mergeCell ref="AV145:AW145"/>
    <mergeCell ref="AH146:AI146"/>
    <mergeCell ref="AJ146:AK146"/>
    <mergeCell ref="AL146:AM146"/>
    <mergeCell ref="AN146:AO146"/>
    <mergeCell ref="AR146:AS146"/>
    <mergeCell ref="AT146:AU146"/>
    <mergeCell ref="AV146:AW146"/>
    <mergeCell ref="AX145:BC145"/>
    <mergeCell ref="AX146:AZ146"/>
    <mergeCell ref="BA146:BC146"/>
    <mergeCell ref="AX147:AY147"/>
    <mergeCell ref="BA147:BB147"/>
    <mergeCell ref="AX151:AY151"/>
    <mergeCell ref="BA151:BB151"/>
    <mergeCell ref="AX149:AY149"/>
    <mergeCell ref="BA149:BB149"/>
    <mergeCell ref="E432:E434"/>
    <mergeCell ref="AG145:AG147"/>
    <mergeCell ref="E145:E147"/>
    <mergeCell ref="O145:O147"/>
    <mergeCell ref="P145:S145"/>
    <mergeCell ref="F146:G146"/>
    <mergeCell ref="H146:I146"/>
    <mergeCell ref="J146:K146"/>
    <mergeCell ref="L146:M146"/>
    <mergeCell ref="P146:Q146"/>
    <mergeCell ref="R146:S146"/>
    <mergeCell ref="R257:S257"/>
    <mergeCell ref="R258:S258"/>
    <mergeCell ref="R260:S260"/>
    <mergeCell ref="R261:S261"/>
    <mergeCell ref="R262:S262"/>
    <mergeCell ref="AG432:AG434"/>
    <mergeCell ref="AG422:AG424"/>
    <mergeCell ref="W147:X147"/>
    <mergeCell ref="R433:S433"/>
    <mergeCell ref="AG338:AG340"/>
    <mergeCell ref="E6:E8"/>
    <mergeCell ref="F7:G7"/>
    <mergeCell ref="H7:I7"/>
    <mergeCell ref="J7:K7"/>
    <mergeCell ref="L7:M7"/>
    <mergeCell ref="O6:O8"/>
    <mergeCell ref="R7:S7"/>
    <mergeCell ref="P7:Q7"/>
    <mergeCell ref="P6:S6"/>
    <mergeCell ref="E18:E20"/>
    <mergeCell ref="F19:G19"/>
    <mergeCell ref="H19:I19"/>
    <mergeCell ref="J19:K19"/>
    <mergeCell ref="L19:M19"/>
    <mergeCell ref="O18:O20"/>
    <mergeCell ref="P18:S18"/>
    <mergeCell ref="P19:Q19"/>
    <mergeCell ref="R19:S19"/>
    <mergeCell ref="AG18:AG20"/>
    <mergeCell ref="AQ18:AQ20"/>
    <mergeCell ref="AR18:AU18"/>
    <mergeCell ref="AV18:AW18"/>
    <mergeCell ref="AH19:AI19"/>
    <mergeCell ref="AJ19:AK19"/>
    <mergeCell ref="AL19:AM19"/>
    <mergeCell ref="AN19:AO19"/>
    <mergeCell ref="AR19:AS19"/>
    <mergeCell ref="AT19:AU19"/>
    <mergeCell ref="AV19:AW19"/>
    <mergeCell ref="AG6:AG8"/>
    <mergeCell ref="AQ6:AQ8"/>
    <mergeCell ref="AR6:AU6"/>
    <mergeCell ref="AV6:AW6"/>
    <mergeCell ref="AH7:AI7"/>
    <mergeCell ref="AJ7:AK7"/>
    <mergeCell ref="AL7:AM7"/>
    <mergeCell ref="AN7:AO7"/>
    <mergeCell ref="AR7:AS7"/>
    <mergeCell ref="AT7:AU7"/>
    <mergeCell ref="AV7:AW7"/>
    <mergeCell ref="AH246:AI246"/>
    <mergeCell ref="AJ246:AK246"/>
    <mergeCell ref="AL246:AM246"/>
    <mergeCell ref="AN246:AO246"/>
    <mergeCell ref="AR246:AS246"/>
    <mergeCell ref="AT246:AU246"/>
    <mergeCell ref="AV246:AW246"/>
    <mergeCell ref="E245:E247"/>
    <mergeCell ref="O245:O247"/>
    <mergeCell ref="P245:S245"/>
    <mergeCell ref="F246:G246"/>
    <mergeCell ref="H246:I246"/>
    <mergeCell ref="J246:K246"/>
    <mergeCell ref="L246:M246"/>
    <mergeCell ref="P246:Q246"/>
    <mergeCell ref="R246:S246"/>
    <mergeCell ref="AG245:AG247"/>
    <mergeCell ref="AQ245:AQ247"/>
    <mergeCell ref="AR245:AU245"/>
    <mergeCell ref="E338:E340"/>
    <mergeCell ref="O338:O340"/>
    <mergeCell ref="P338:S338"/>
    <mergeCell ref="F339:G339"/>
    <mergeCell ref="H339:I339"/>
    <mergeCell ref="J339:K339"/>
    <mergeCell ref="L339:M339"/>
    <mergeCell ref="P339:Q339"/>
    <mergeCell ref="R339:S339"/>
    <mergeCell ref="O432:O434"/>
    <mergeCell ref="P432:S432"/>
    <mergeCell ref="F433:G433"/>
    <mergeCell ref="H433:I433"/>
    <mergeCell ref="J433:K433"/>
    <mergeCell ref="L433:M433"/>
    <mergeCell ref="P433:Q433"/>
    <mergeCell ref="AQ338:AQ340"/>
    <mergeCell ref="AR338:AU338"/>
    <mergeCell ref="AH339:AI339"/>
    <mergeCell ref="AJ339:AK339"/>
    <mergeCell ref="AL339:AM339"/>
    <mergeCell ref="AN339:AO339"/>
    <mergeCell ref="AR339:AS339"/>
    <mergeCell ref="AT339:AU339"/>
    <mergeCell ref="E422:E424"/>
    <mergeCell ref="O422:O424"/>
    <mergeCell ref="P422:S422"/>
    <mergeCell ref="F423:G423"/>
    <mergeCell ref="H423:I423"/>
    <mergeCell ref="J423:K423"/>
    <mergeCell ref="L423:M423"/>
    <mergeCell ref="P423:Q423"/>
    <mergeCell ref="R423:S423"/>
    <mergeCell ref="AH423:AI423"/>
    <mergeCell ref="AJ423:AK423"/>
    <mergeCell ref="AL423:AM423"/>
    <mergeCell ref="AN423:AO423"/>
    <mergeCell ref="AR423:AS423"/>
    <mergeCell ref="AT423:AU423"/>
    <mergeCell ref="AV423:AW423"/>
    <mergeCell ref="AQ432:AQ434"/>
    <mergeCell ref="AR432:AU432"/>
    <mergeCell ref="AV432:AW432"/>
    <mergeCell ref="AH433:AI433"/>
    <mergeCell ref="AJ433:AK433"/>
    <mergeCell ref="AL433:AM433"/>
    <mergeCell ref="AN433:AO433"/>
    <mergeCell ref="AR433:AS433"/>
    <mergeCell ref="AT433:AU433"/>
    <mergeCell ref="AV433:AW433"/>
    <mergeCell ref="AQ422:AQ424"/>
    <mergeCell ref="AR422:AU422"/>
    <mergeCell ref="E545:E547"/>
    <mergeCell ref="O545:O547"/>
    <mergeCell ref="P545:S545"/>
    <mergeCell ref="F546:G546"/>
    <mergeCell ref="H546:I546"/>
    <mergeCell ref="J546:K546"/>
    <mergeCell ref="L546:M546"/>
    <mergeCell ref="P546:Q546"/>
    <mergeCell ref="R546:S546"/>
    <mergeCell ref="AG545:AG547"/>
    <mergeCell ref="AQ545:AQ547"/>
    <mergeCell ref="AR545:AU545"/>
    <mergeCell ref="AH546:AI546"/>
    <mergeCell ref="AJ546:AK546"/>
    <mergeCell ref="AL546:AM546"/>
    <mergeCell ref="AN546:AO546"/>
    <mergeCell ref="AR546:AS546"/>
    <mergeCell ref="AT546:AU546"/>
    <mergeCell ref="E628:E630"/>
    <mergeCell ref="O628:O630"/>
    <mergeCell ref="P628:S628"/>
    <mergeCell ref="AG628:AG630"/>
    <mergeCell ref="AQ628:AQ630"/>
    <mergeCell ref="AR628:AU628"/>
    <mergeCell ref="AV628:AW628"/>
    <mergeCell ref="F629:G629"/>
    <mergeCell ref="H629:I629"/>
    <mergeCell ref="J629:K629"/>
    <mergeCell ref="L629:M629"/>
    <mergeCell ref="P629:Q629"/>
    <mergeCell ref="R629:S629"/>
    <mergeCell ref="AH629:AI629"/>
    <mergeCell ref="AJ629:AK629"/>
    <mergeCell ref="AL629:AM629"/>
    <mergeCell ref="AN629:AO629"/>
    <mergeCell ref="AR629:AS629"/>
    <mergeCell ref="AT629:AU629"/>
    <mergeCell ref="AV629:AW629"/>
    <mergeCell ref="E712:E714"/>
    <mergeCell ref="O712:O714"/>
    <mergeCell ref="P712:S712"/>
    <mergeCell ref="AG712:AG714"/>
    <mergeCell ref="AQ712:AQ714"/>
    <mergeCell ref="AR712:AU712"/>
    <mergeCell ref="AV712:AW712"/>
    <mergeCell ref="F713:G713"/>
    <mergeCell ref="H713:I713"/>
    <mergeCell ref="J713:K713"/>
    <mergeCell ref="L713:M713"/>
    <mergeCell ref="P713:Q713"/>
    <mergeCell ref="R713:S713"/>
    <mergeCell ref="AH713:AI713"/>
    <mergeCell ref="AJ713:AK713"/>
    <mergeCell ref="AL713:AM713"/>
    <mergeCell ref="AN713:AO713"/>
    <mergeCell ref="AR713:AS713"/>
    <mergeCell ref="AT713:AU713"/>
    <mergeCell ref="AV713:AW713"/>
  </mergeCells>
  <conditionalFormatting sqref="F548:G548">
    <cfRule type="cellIs" dxfId="45" priority="1125" operator="equal">
      <formula>0</formula>
    </cfRule>
  </conditionalFormatting>
  <conditionalFormatting sqref="F341:M345 AH341:AO345 F426:M426 F435:G440 R435:S440 AH435:AI440 AT435:AU440">
    <cfRule type="cellIs" dxfId="44" priority="1126" operator="equal">
      <formula>0</formula>
    </cfRule>
  </conditionalFormatting>
  <conditionalFormatting sqref="P341:S345">
    <cfRule type="cellIs" dxfId="43" priority="5" operator="equal">
      <formula>0</formula>
    </cfRule>
  </conditionalFormatting>
  <conditionalFormatting sqref="AH548:AI548">
    <cfRule type="cellIs" dxfId="42" priority="1" operator="equal">
      <formula>0</formula>
    </cfRule>
  </conditionalFormatting>
  <conditionalFormatting sqref="AH426:AO426">
    <cfRule type="cellIs" dxfId="41" priority="2" operator="equal">
      <formula>0</formula>
    </cfRule>
  </conditionalFormatting>
  <conditionalFormatting sqref="AR341:AU345">
    <cfRule type="cellIs" dxfId="4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ECC0-E09F-4E5E-A912-B92383407C1E}">
  <sheetPr>
    <tabColor theme="0"/>
  </sheetPr>
  <dimension ref="A1:CJ329"/>
  <sheetViews>
    <sheetView topLeftCell="C1" zoomScale="60" zoomScaleNormal="60" workbookViewId="0">
      <pane ySplit="1" topLeftCell="A2" activePane="bottomLeft" state="frozen"/>
      <selection pane="bottomLeft" activeCell="Q328" sqref="Q328"/>
    </sheetView>
  </sheetViews>
  <sheetFormatPr defaultColWidth="7.5" defaultRowHeight="16.8" x14ac:dyDescent="0.4"/>
  <cols>
    <col min="1" max="1" width="7.09765625" style="38" hidden="1" customWidth="1"/>
    <col min="2" max="2" width="6.69921875" style="39" hidden="1" customWidth="1"/>
    <col min="3" max="3" width="3.19921875" style="41" customWidth="1"/>
    <col min="4" max="4" width="33.59765625" style="127" customWidth="1"/>
    <col min="5" max="5" width="40.19921875" style="130" customWidth="1"/>
    <col min="6" max="6" width="25.19921875" style="184" customWidth="1"/>
    <col min="7" max="7" width="30.59765625" style="130" customWidth="1"/>
    <col min="8" max="30" width="7.69921875" style="130" customWidth="1"/>
    <col min="31" max="36" width="8.09765625" style="130" customWidth="1"/>
    <col min="37" max="41" width="8.09765625" style="129" customWidth="1"/>
    <col min="42" max="65" width="7.69921875" style="129" customWidth="1"/>
    <col min="66" max="73" width="7.69921875" style="40" customWidth="1"/>
    <col min="74" max="16384" width="7.5" style="40"/>
  </cols>
  <sheetData>
    <row r="1" spans="1:73" s="606" customFormat="1" ht="37.200000000000003" customHeight="1" x14ac:dyDescent="0.4">
      <c r="A1" s="599"/>
      <c r="B1" s="600"/>
      <c r="C1" s="601"/>
      <c r="D1" s="602"/>
      <c r="E1" s="603"/>
      <c r="F1" s="604"/>
      <c r="G1" s="604"/>
      <c r="H1" s="604">
        <v>1990</v>
      </c>
      <c r="I1" s="604">
        <v>1991</v>
      </c>
      <c r="J1" s="604">
        <v>1992</v>
      </c>
      <c r="K1" s="604">
        <v>1993</v>
      </c>
      <c r="L1" s="604">
        <v>1994</v>
      </c>
      <c r="M1" s="604">
        <v>1995</v>
      </c>
      <c r="N1" s="604">
        <v>1996</v>
      </c>
      <c r="O1" s="604">
        <v>1997</v>
      </c>
      <c r="P1" s="604">
        <v>1998</v>
      </c>
      <c r="Q1" s="604">
        <v>1999</v>
      </c>
      <c r="R1" s="604">
        <v>2000</v>
      </c>
      <c r="S1" s="604">
        <v>2001</v>
      </c>
      <c r="T1" s="604">
        <v>2002</v>
      </c>
      <c r="U1" s="604">
        <v>2003</v>
      </c>
      <c r="V1" s="604">
        <v>2004</v>
      </c>
      <c r="W1" s="605">
        <v>2005</v>
      </c>
      <c r="X1" s="604">
        <v>2006</v>
      </c>
      <c r="Y1" s="604">
        <v>2007</v>
      </c>
      <c r="Z1" s="604">
        <v>2008</v>
      </c>
      <c r="AA1" s="604">
        <v>2009</v>
      </c>
      <c r="AB1" s="604">
        <v>2010</v>
      </c>
      <c r="AC1" s="604">
        <v>2011</v>
      </c>
      <c r="AD1" s="604">
        <v>2012</v>
      </c>
      <c r="AE1" s="604">
        <v>2013</v>
      </c>
      <c r="AF1" s="604">
        <v>2014</v>
      </c>
      <c r="AG1" s="604">
        <v>2015</v>
      </c>
      <c r="AH1" s="604">
        <v>2016</v>
      </c>
      <c r="AI1" s="604">
        <v>2017</v>
      </c>
      <c r="AJ1" s="604">
        <v>2018</v>
      </c>
      <c r="AK1" s="604">
        <v>2019</v>
      </c>
      <c r="AL1" s="604">
        <v>2020</v>
      </c>
      <c r="AM1" s="604">
        <v>2021</v>
      </c>
      <c r="AN1" s="604">
        <v>2022</v>
      </c>
      <c r="AO1" s="604">
        <v>2023</v>
      </c>
      <c r="AP1" s="604">
        <v>2024</v>
      </c>
      <c r="AQ1" s="604">
        <v>2025</v>
      </c>
      <c r="AR1" s="604">
        <v>2026</v>
      </c>
      <c r="AS1" s="604">
        <v>2027</v>
      </c>
      <c r="AT1" s="604">
        <v>2028</v>
      </c>
      <c r="AU1" s="604">
        <v>2029</v>
      </c>
      <c r="AV1" s="605">
        <v>2030</v>
      </c>
      <c r="AW1" s="604">
        <v>2031</v>
      </c>
      <c r="AX1" s="604">
        <v>2032</v>
      </c>
      <c r="AY1" s="604">
        <v>2033</v>
      </c>
      <c r="AZ1" s="604">
        <v>2034</v>
      </c>
      <c r="BA1" s="604">
        <v>2035</v>
      </c>
      <c r="BB1" s="604">
        <v>2036</v>
      </c>
      <c r="BC1" s="604">
        <v>2037</v>
      </c>
      <c r="BD1" s="604">
        <v>2038</v>
      </c>
      <c r="BE1" s="604">
        <v>2039</v>
      </c>
      <c r="BF1" s="604">
        <v>2040</v>
      </c>
      <c r="BG1" s="604">
        <v>2041</v>
      </c>
      <c r="BH1" s="604">
        <v>2042</v>
      </c>
      <c r="BI1" s="604">
        <v>2043</v>
      </c>
      <c r="BJ1" s="604">
        <v>2044</v>
      </c>
      <c r="BK1" s="604">
        <v>2045</v>
      </c>
      <c r="BL1" s="604">
        <v>2046</v>
      </c>
      <c r="BM1" s="604">
        <v>2047</v>
      </c>
      <c r="BN1" s="604">
        <v>2048</v>
      </c>
      <c r="BO1" s="604">
        <v>2049</v>
      </c>
      <c r="BP1" s="604">
        <v>2050</v>
      </c>
      <c r="BQ1" s="604">
        <v>2051</v>
      </c>
      <c r="BR1" s="604">
        <v>2052</v>
      </c>
      <c r="BS1" s="604">
        <v>2053</v>
      </c>
      <c r="BT1" s="604">
        <v>2054</v>
      </c>
      <c r="BU1" s="604">
        <v>2055</v>
      </c>
    </row>
    <row r="2" spans="1:73" s="615" customFormat="1" ht="42.6" customHeight="1" x14ac:dyDescent="0.75">
      <c r="A2" s="607"/>
      <c r="B2" s="608"/>
      <c r="C2" s="609"/>
      <c r="D2" s="610" t="s">
        <v>444</v>
      </c>
      <c r="E2" s="611" t="s">
        <v>443</v>
      </c>
      <c r="F2" s="610"/>
      <c r="G2" s="612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3"/>
      <c r="AG2" s="613"/>
      <c r="AH2" s="613"/>
      <c r="AI2" s="613"/>
      <c r="AJ2" s="613"/>
      <c r="AK2" s="613"/>
      <c r="AL2" s="613"/>
      <c r="AM2" s="613"/>
      <c r="AN2" s="614"/>
      <c r="AO2" s="614"/>
      <c r="AP2" s="614"/>
      <c r="AQ2" s="614"/>
      <c r="AR2" s="614"/>
      <c r="AS2" s="614"/>
      <c r="AT2" s="614"/>
      <c r="AU2" s="614"/>
      <c r="AV2" s="614"/>
      <c r="AW2" s="614"/>
      <c r="AX2" s="614"/>
      <c r="AY2" s="614"/>
      <c r="AZ2" s="614"/>
      <c r="BA2" s="614"/>
      <c r="BB2" s="614"/>
      <c r="BC2" s="614"/>
      <c r="BD2" s="614"/>
      <c r="BE2" s="614"/>
      <c r="BF2" s="614"/>
      <c r="BG2" s="614"/>
      <c r="BH2" s="614"/>
      <c r="BI2" s="614"/>
      <c r="BJ2" s="614"/>
      <c r="BK2" s="614"/>
      <c r="BL2" s="614"/>
      <c r="BM2" s="614"/>
      <c r="BN2" s="614"/>
      <c r="BO2" s="614"/>
      <c r="BP2" s="614"/>
    </row>
    <row r="3" spans="1:73" s="621" customFormat="1" ht="37.200000000000003" customHeight="1" x14ac:dyDescent="0.4">
      <c r="A3" s="616"/>
      <c r="B3" s="617"/>
      <c r="C3" s="618"/>
      <c r="D3" s="619" t="s">
        <v>441</v>
      </c>
      <c r="E3" s="619" t="s">
        <v>442</v>
      </c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</row>
    <row r="4" spans="1:73" s="8" customFormat="1" ht="24" customHeight="1" x14ac:dyDescent="0.4">
      <c r="A4" s="4"/>
      <c r="B4" s="358" t="s">
        <v>48</v>
      </c>
      <c r="C4" s="5"/>
      <c r="D4" s="699" t="s">
        <v>397</v>
      </c>
      <c r="E4" s="6" t="s">
        <v>398</v>
      </c>
      <c r="F4" s="6"/>
      <c r="G4" s="6"/>
      <c r="H4" s="7"/>
      <c r="I4" s="8" t="s">
        <v>48</v>
      </c>
      <c r="J4" s="9"/>
      <c r="K4" s="10"/>
      <c r="L4" s="11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</row>
    <row r="5" spans="1:73" s="19" customFormat="1" ht="16.5" customHeight="1" x14ac:dyDescent="0.35">
      <c r="A5" s="3" t="s">
        <v>42</v>
      </c>
      <c r="B5" s="9" t="s">
        <v>48</v>
      </c>
      <c r="C5" s="13"/>
      <c r="D5" s="15" t="s">
        <v>3</v>
      </c>
      <c r="E5" s="14" t="s">
        <v>124</v>
      </c>
      <c r="F5" s="15"/>
      <c r="G5" s="16" t="s">
        <v>240</v>
      </c>
      <c r="H5" s="17">
        <v>1840.5584239819852</v>
      </c>
      <c r="I5" s="17">
        <v>1755.4179512828262</v>
      </c>
      <c r="J5" s="17">
        <v>1899.1739311105507</v>
      </c>
      <c r="K5" s="17">
        <v>2003.8997718373689</v>
      </c>
      <c r="L5" s="17">
        <v>1952.7940283545367</v>
      </c>
      <c r="M5" s="17">
        <v>2057.5890174079286</v>
      </c>
      <c r="N5" s="17">
        <v>2113.0524577349433</v>
      </c>
      <c r="O5" s="17">
        <v>2152.9190000436697</v>
      </c>
      <c r="P5" s="17">
        <v>2146.54538578551</v>
      </c>
      <c r="Q5" s="17">
        <v>2203.0183508790501</v>
      </c>
      <c r="R5" s="17">
        <v>2185.2971896595163</v>
      </c>
      <c r="S5" s="17">
        <v>2073.9027921877141</v>
      </c>
      <c r="T5" s="17">
        <v>2183.8215104774213</v>
      </c>
      <c r="U5" s="17">
        <v>2172.7731564664687</v>
      </c>
      <c r="V5" s="17">
        <v>2271.6116788326794</v>
      </c>
      <c r="W5" s="17">
        <v>2158.527046856836</v>
      </c>
      <c r="X5" s="17">
        <v>2221.8227381350603</v>
      </c>
      <c r="Y5" s="17">
        <v>2363.1293698360123</v>
      </c>
      <c r="Z5" s="17">
        <v>2234.9780023950389</v>
      </c>
      <c r="AA5" s="17">
        <v>2137.0823287033058</v>
      </c>
      <c r="AB5" s="17">
        <v>2026.8113312376122</v>
      </c>
      <c r="AC5" s="17">
        <v>1905.1317556197382</v>
      </c>
      <c r="AD5" s="17">
        <v>1855.8766363751167</v>
      </c>
      <c r="AE5" s="17">
        <v>1820.5107270076819</v>
      </c>
      <c r="AF5" s="17">
        <v>1827.5701000936444</v>
      </c>
      <c r="AG5" s="17">
        <v>1858.502194326315</v>
      </c>
      <c r="AH5" s="17">
        <v>1839.835099445806</v>
      </c>
      <c r="AI5" s="17">
        <v>1872.7101888325615</v>
      </c>
      <c r="AJ5" s="17">
        <v>1916.4214699481461</v>
      </c>
      <c r="AK5" s="17">
        <v>1862.5085975452396</v>
      </c>
      <c r="AL5" s="17">
        <v>1662.3980337597477</v>
      </c>
      <c r="AM5" s="17">
        <v>1750.2428458829866</v>
      </c>
      <c r="AN5" s="17">
        <v>1806.8314698507281</v>
      </c>
      <c r="AO5" s="17">
        <v>1774.5518574835669</v>
      </c>
      <c r="AP5" s="17">
        <v>1858.8672934650326</v>
      </c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</row>
    <row r="6" spans="1:73" s="19" customFormat="1" ht="16.5" customHeight="1" x14ac:dyDescent="0.35">
      <c r="A6" s="3" t="s">
        <v>43</v>
      </c>
      <c r="B6" s="9" t="s">
        <v>48</v>
      </c>
      <c r="C6" s="20" t="s">
        <v>48</v>
      </c>
      <c r="D6" s="15" t="s">
        <v>207</v>
      </c>
      <c r="E6" s="14" t="s">
        <v>237</v>
      </c>
      <c r="F6" s="15" t="s">
        <v>48</v>
      </c>
      <c r="G6" s="16" t="str">
        <f t="shared" ref="G6:G11" si="0">$G$5</f>
        <v>Þús. tonn CO₂-íg. | kt CO₂e</v>
      </c>
      <c r="H6" s="17">
        <v>901.56402367622968</v>
      </c>
      <c r="I6" s="17">
        <v>790.24789736126775</v>
      </c>
      <c r="J6" s="17">
        <v>584.29723450972222</v>
      </c>
      <c r="K6" s="17">
        <v>550.93596124335056</v>
      </c>
      <c r="L6" s="17">
        <v>520.20637928426299</v>
      </c>
      <c r="M6" s="17">
        <v>552.34227245194143</v>
      </c>
      <c r="N6" s="17">
        <v>529.3976471121515</v>
      </c>
      <c r="O6" s="17">
        <v>648.28838839049433</v>
      </c>
      <c r="P6" s="17">
        <v>784.4634901474692</v>
      </c>
      <c r="Q6" s="17">
        <v>938.23694494330812</v>
      </c>
      <c r="R6" s="17">
        <v>991.04702286795407</v>
      </c>
      <c r="S6" s="17">
        <v>990.25888224548851</v>
      </c>
      <c r="T6" s="17">
        <v>978.21826331717614</v>
      </c>
      <c r="U6" s="17">
        <v>966.00744457100427</v>
      </c>
      <c r="V6" s="17">
        <v>974.1576779714494</v>
      </c>
      <c r="W6" s="17">
        <v>949.87119163297143</v>
      </c>
      <c r="X6" s="17">
        <v>1393.7102254839322</v>
      </c>
      <c r="Y6" s="17">
        <v>1537.748422328378</v>
      </c>
      <c r="Z6" s="17">
        <v>2049.2140459819293</v>
      </c>
      <c r="AA6" s="17">
        <v>1865.4743557470811</v>
      </c>
      <c r="AB6" s="17">
        <v>1894.8603861054207</v>
      </c>
      <c r="AC6" s="17">
        <v>1825.228373004406</v>
      </c>
      <c r="AD6" s="17">
        <v>1893.5019394946405</v>
      </c>
      <c r="AE6" s="17">
        <v>1941.8302209053631</v>
      </c>
      <c r="AF6" s="17">
        <v>1916.4213966986183</v>
      </c>
      <c r="AG6" s="17">
        <v>1965.0148909374132</v>
      </c>
      <c r="AH6" s="17">
        <v>1947.090250931831</v>
      </c>
      <c r="AI6" s="17">
        <v>1993.4228438831778</v>
      </c>
      <c r="AJ6" s="17">
        <v>2034.5392041778191</v>
      </c>
      <c r="AK6" s="17">
        <v>1986.4886421137151</v>
      </c>
      <c r="AL6" s="17">
        <v>1958.0535521024856</v>
      </c>
      <c r="AM6" s="17">
        <v>1994.8331613475439</v>
      </c>
      <c r="AN6" s="17">
        <v>2016.0715730620109</v>
      </c>
      <c r="AO6" s="17">
        <v>1945.9038654926317</v>
      </c>
      <c r="AP6" s="17">
        <v>2006.593431936052</v>
      </c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</row>
    <row r="7" spans="1:73" s="19" customFormat="1" ht="16.5" customHeight="1" x14ac:dyDescent="0.35">
      <c r="A7" s="3" t="s">
        <v>44</v>
      </c>
      <c r="B7" s="9" t="s">
        <v>48</v>
      </c>
      <c r="C7" s="20"/>
      <c r="D7" s="15" t="s">
        <v>2</v>
      </c>
      <c r="E7" s="14" t="s">
        <v>126</v>
      </c>
      <c r="F7" s="15"/>
      <c r="G7" s="16" t="str">
        <f t="shared" si="0"/>
        <v>Þús. tonn CO₂-íg. | kt CO₂e</v>
      </c>
      <c r="H7" s="17">
        <v>705.77087552006321</v>
      </c>
      <c r="I7" s="17">
        <v>697.0028214533628</v>
      </c>
      <c r="J7" s="17">
        <v>683.92202084320638</v>
      </c>
      <c r="K7" s="17">
        <v>687.49473372673253</v>
      </c>
      <c r="L7" s="17">
        <v>695.74790977241412</v>
      </c>
      <c r="M7" s="17">
        <v>680.42475913210365</v>
      </c>
      <c r="N7" s="17">
        <v>695.12241166629781</v>
      </c>
      <c r="O7" s="17">
        <v>690.61894133179032</v>
      </c>
      <c r="P7" s="17">
        <v>706.95978504809636</v>
      </c>
      <c r="Q7" s="17">
        <v>707.25193436506856</v>
      </c>
      <c r="R7" s="17">
        <v>693.71310457665857</v>
      </c>
      <c r="S7" s="17">
        <v>695.26233274645392</v>
      </c>
      <c r="T7" s="17">
        <v>681.04094169691996</v>
      </c>
      <c r="U7" s="17">
        <v>675.51645799623816</v>
      </c>
      <c r="V7" s="17">
        <v>673.06704432014635</v>
      </c>
      <c r="W7" s="17">
        <v>676.35624315554026</v>
      </c>
      <c r="X7" s="17">
        <v>702.77832044800687</v>
      </c>
      <c r="Y7" s="17">
        <v>719.49205725593663</v>
      </c>
      <c r="Z7" s="17">
        <v>735.25336443442507</v>
      </c>
      <c r="AA7" s="17">
        <v>723.74948806605664</v>
      </c>
      <c r="AB7" s="17">
        <v>713.24660673925041</v>
      </c>
      <c r="AC7" s="17">
        <v>712.00689898355654</v>
      </c>
      <c r="AD7" s="17">
        <v>706.41995539190134</v>
      </c>
      <c r="AE7" s="17">
        <v>699.11151229400309</v>
      </c>
      <c r="AF7" s="17">
        <v>739.8778854052988</v>
      </c>
      <c r="AG7" s="17">
        <v>731.68218474228752</v>
      </c>
      <c r="AH7" s="17">
        <v>731.62153572810257</v>
      </c>
      <c r="AI7" s="17">
        <v>735.88838119656498</v>
      </c>
      <c r="AJ7" s="17">
        <v>716.16781784889179</v>
      </c>
      <c r="AK7" s="17">
        <v>701.7238087608456</v>
      </c>
      <c r="AL7" s="17">
        <v>699.17214984267878</v>
      </c>
      <c r="AM7" s="17">
        <v>703.77815936914863</v>
      </c>
      <c r="AN7" s="17">
        <v>694.39797034091566</v>
      </c>
      <c r="AO7" s="17">
        <v>675.62542094858054</v>
      </c>
      <c r="AP7" s="17">
        <v>669.59914464131464</v>
      </c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</row>
    <row r="8" spans="1:73" s="19" customFormat="1" ht="16.5" customHeight="1" x14ac:dyDescent="0.35">
      <c r="A8" s="3" t="s">
        <v>45</v>
      </c>
      <c r="B8" s="9" t="s">
        <v>48</v>
      </c>
      <c r="C8" s="20"/>
      <c r="D8" s="15" t="s">
        <v>236</v>
      </c>
      <c r="E8" s="14" t="s">
        <v>238</v>
      </c>
      <c r="F8" s="15" t="s">
        <v>48</v>
      </c>
      <c r="G8" s="16" t="str">
        <f t="shared" si="0"/>
        <v>Þús. tonn CO₂-íg. | kt CO₂e</v>
      </c>
      <c r="H8" s="17">
        <v>6269.9877375251435</v>
      </c>
      <c r="I8" s="17">
        <v>6275.5192312703575</v>
      </c>
      <c r="J8" s="17">
        <v>6261.9834522417459</v>
      </c>
      <c r="K8" s="17">
        <v>6271.5861005354809</v>
      </c>
      <c r="L8" s="17">
        <v>6263.2047732650426</v>
      </c>
      <c r="M8" s="17">
        <v>6246.374156901953</v>
      </c>
      <c r="N8" s="17">
        <v>6240.1585618344061</v>
      </c>
      <c r="O8" s="17">
        <v>6235.6937113439535</v>
      </c>
      <c r="P8" s="17">
        <v>6234.7243112998167</v>
      </c>
      <c r="Q8" s="17">
        <v>6241.9859952278175</v>
      </c>
      <c r="R8" s="17">
        <v>6249.0946953866351</v>
      </c>
      <c r="S8" s="17">
        <v>6258.0200197691438</v>
      </c>
      <c r="T8" s="17">
        <v>6273.3523189493235</v>
      </c>
      <c r="U8" s="17">
        <v>6267.3920596980261</v>
      </c>
      <c r="V8" s="17">
        <v>6267.6024485585731</v>
      </c>
      <c r="W8" s="17">
        <v>6268.1542563970897</v>
      </c>
      <c r="X8" s="17">
        <v>6320.9528495880331</v>
      </c>
      <c r="Y8" s="17">
        <v>6225.7529178967579</v>
      </c>
      <c r="Z8" s="17">
        <v>6269.5802663479571</v>
      </c>
      <c r="AA8" s="17">
        <v>6325.4371503419688</v>
      </c>
      <c r="AB8" s="17">
        <v>6300.1598879350922</v>
      </c>
      <c r="AC8" s="17">
        <v>6279.2934431077456</v>
      </c>
      <c r="AD8" s="17">
        <v>6284.1647851584466</v>
      </c>
      <c r="AE8" s="17">
        <v>6285.1853911126827</v>
      </c>
      <c r="AF8" s="17">
        <v>6278.9462416991719</v>
      </c>
      <c r="AG8" s="17">
        <v>6270.442338847115</v>
      </c>
      <c r="AH8" s="17">
        <v>6253.2366346408298</v>
      </c>
      <c r="AI8" s="17">
        <v>6226.2044900319424</v>
      </c>
      <c r="AJ8" s="17">
        <v>6214.4468411285316</v>
      </c>
      <c r="AK8" s="17">
        <v>6228.6191507748572</v>
      </c>
      <c r="AL8" s="17">
        <v>6249.9591871884904</v>
      </c>
      <c r="AM8" s="17">
        <v>6257.2475682356353</v>
      </c>
      <c r="AN8" s="17">
        <v>6243.413997282224</v>
      </c>
      <c r="AO8" s="17">
        <v>6247.0049298278182</v>
      </c>
      <c r="AP8" s="17">
        <v>6268.7228611357514</v>
      </c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</row>
    <row r="9" spans="1:73" s="19" customFormat="1" ht="16.5" customHeight="1" x14ac:dyDescent="0.35">
      <c r="A9" s="3" t="s">
        <v>46</v>
      </c>
      <c r="B9" s="9" t="s">
        <v>48</v>
      </c>
      <c r="C9" s="20"/>
      <c r="D9" s="15" t="s">
        <v>1</v>
      </c>
      <c r="E9" s="14" t="s">
        <v>127</v>
      </c>
      <c r="F9" s="15"/>
      <c r="G9" s="16" t="str">
        <f t="shared" si="0"/>
        <v>Þús. tonn CO₂-íg. | kt CO₂e</v>
      </c>
      <c r="H9" s="17">
        <v>207.48113534917758</v>
      </c>
      <c r="I9" s="17">
        <v>212.03186178888896</v>
      </c>
      <c r="J9" s="17">
        <v>225.58702102180382</v>
      </c>
      <c r="K9" s="17">
        <v>236.40774938066681</v>
      </c>
      <c r="L9" s="17">
        <v>244.83071881712891</v>
      </c>
      <c r="M9" s="17">
        <v>255.41947994235574</v>
      </c>
      <c r="N9" s="17">
        <v>264.77085314091136</v>
      </c>
      <c r="O9" s="17">
        <v>272.26856425711782</v>
      </c>
      <c r="P9" s="17">
        <v>275.0555897730635</v>
      </c>
      <c r="Q9" s="17">
        <v>283.13384361127055</v>
      </c>
      <c r="R9" s="17">
        <v>292.50690649920642</v>
      </c>
      <c r="S9" s="17">
        <v>301.98699890531498</v>
      </c>
      <c r="T9" s="17">
        <v>306.63764321140201</v>
      </c>
      <c r="U9" s="17">
        <v>307.81599942507393</v>
      </c>
      <c r="V9" s="17">
        <v>316.82840962116035</v>
      </c>
      <c r="W9" s="17">
        <v>309.4550863499295</v>
      </c>
      <c r="X9" s="17">
        <v>333.07583774570196</v>
      </c>
      <c r="Y9" s="17">
        <v>336.59809645653598</v>
      </c>
      <c r="Z9" s="17">
        <v>319.07552636085347</v>
      </c>
      <c r="AA9" s="17">
        <v>309.20836584471436</v>
      </c>
      <c r="AB9" s="17">
        <v>305.67596243778644</v>
      </c>
      <c r="AC9" s="17">
        <v>286.33380167681753</v>
      </c>
      <c r="AD9" s="17">
        <v>266.02689980767514</v>
      </c>
      <c r="AE9" s="17">
        <v>265.34308724396942</v>
      </c>
      <c r="AF9" s="17">
        <v>265.43226219787164</v>
      </c>
      <c r="AG9" s="17">
        <v>264.35718550776443</v>
      </c>
      <c r="AH9" s="17">
        <v>260.49570988862047</v>
      </c>
      <c r="AI9" s="17">
        <v>257.99818993673932</v>
      </c>
      <c r="AJ9" s="17">
        <v>256.58386722176402</v>
      </c>
      <c r="AK9" s="17">
        <v>230.54539718147191</v>
      </c>
      <c r="AL9" s="17">
        <v>259.96877738955828</v>
      </c>
      <c r="AM9" s="17">
        <v>267.91523756528778</v>
      </c>
      <c r="AN9" s="17">
        <v>258.48028586415518</v>
      </c>
      <c r="AO9" s="17">
        <v>247.50886575665592</v>
      </c>
      <c r="AP9" s="17">
        <v>238.29994109170406</v>
      </c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</row>
    <row r="10" spans="1:73" s="25" customFormat="1" ht="16.5" customHeight="1" x14ac:dyDescent="0.35">
      <c r="A10" s="3" t="s">
        <v>47</v>
      </c>
      <c r="B10" s="9" t="s">
        <v>48</v>
      </c>
      <c r="C10" s="13"/>
      <c r="D10" s="22" t="s">
        <v>212</v>
      </c>
      <c r="E10" s="21"/>
      <c r="F10" s="22"/>
      <c r="G10" s="23" t="str">
        <f t="shared" si="0"/>
        <v>Þús. tonn CO₂-íg. | kt CO₂e</v>
      </c>
      <c r="H10" s="24">
        <v>9925.3621960525979</v>
      </c>
      <c r="I10" s="24">
        <v>9730.2197631567033</v>
      </c>
      <c r="J10" s="24">
        <v>9654.9636597270292</v>
      </c>
      <c r="K10" s="24">
        <v>9750.3243167235996</v>
      </c>
      <c r="L10" s="24">
        <v>9676.783809493385</v>
      </c>
      <c r="M10" s="24">
        <v>9792.1496858362825</v>
      </c>
      <c r="N10" s="24">
        <v>9842.5019314887104</v>
      </c>
      <c r="O10" s="24">
        <v>9999.7886053670245</v>
      </c>
      <c r="P10" s="24">
        <v>10147.748562053956</v>
      </c>
      <c r="Q10" s="24">
        <v>10373.627069026516</v>
      </c>
      <c r="R10" s="24">
        <v>10411.65891898997</v>
      </c>
      <c r="S10" s="24">
        <v>10319.431025854115</v>
      </c>
      <c r="T10" s="24">
        <v>10423.070677652242</v>
      </c>
      <c r="U10" s="24">
        <v>10389.505118156812</v>
      </c>
      <c r="V10" s="24">
        <v>10503.267259304008</v>
      </c>
      <c r="W10" s="24">
        <v>10362.363824392367</v>
      </c>
      <c r="X10" s="24">
        <v>10972.339971400736</v>
      </c>
      <c r="Y10" s="24">
        <v>11182.72086377362</v>
      </c>
      <c r="Z10" s="24">
        <v>11608.101205520203</v>
      </c>
      <c r="AA10" s="24">
        <v>11360.951688703126</v>
      </c>
      <c r="AB10" s="24">
        <v>11240.754174455162</v>
      </c>
      <c r="AC10" s="24">
        <v>11007.994272392265</v>
      </c>
      <c r="AD10" s="24">
        <v>11005.990216227779</v>
      </c>
      <c r="AE10" s="24">
        <v>11011.9809385637</v>
      </c>
      <c r="AF10" s="24">
        <v>11028.247886094605</v>
      </c>
      <c r="AG10" s="24">
        <v>11089.998794360896</v>
      </c>
      <c r="AH10" s="24">
        <v>11032.279230635189</v>
      </c>
      <c r="AI10" s="24">
        <v>11086.224093880986</v>
      </c>
      <c r="AJ10" s="24">
        <v>11138.159200325152</v>
      </c>
      <c r="AK10" s="24">
        <v>11009.885596376129</v>
      </c>
      <c r="AL10" s="24">
        <v>10829.55170028296</v>
      </c>
      <c r="AM10" s="24">
        <v>10974.016972400603</v>
      </c>
      <c r="AN10" s="24">
        <v>11019.195296400034</v>
      </c>
      <c r="AO10" s="24">
        <v>10890.594939509254</v>
      </c>
      <c r="AP10" s="24">
        <v>11042.082672269855</v>
      </c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</row>
    <row r="11" spans="1:73" s="25" customFormat="1" ht="16.2" customHeight="1" x14ac:dyDescent="0.35">
      <c r="A11" s="3" t="s">
        <v>49</v>
      </c>
      <c r="B11" s="9" t="s">
        <v>48</v>
      </c>
      <c r="C11" s="13"/>
      <c r="D11" s="22" t="s">
        <v>213</v>
      </c>
      <c r="E11" s="21"/>
      <c r="F11" s="22"/>
      <c r="G11" s="23" t="str">
        <f t="shared" si="0"/>
        <v>Þús. tonn CO₂-íg. | kt CO₂e</v>
      </c>
      <c r="H11" s="24">
        <v>3655.3744585274558</v>
      </c>
      <c r="I11" s="24">
        <v>3454.7005318863453</v>
      </c>
      <c r="J11" s="24">
        <v>3392.9802074852832</v>
      </c>
      <c r="K11" s="24">
        <v>3478.7382161881187</v>
      </c>
      <c r="L11" s="24">
        <v>3413.5790362283424</v>
      </c>
      <c r="M11" s="24">
        <v>3545.7755289343295</v>
      </c>
      <c r="N11" s="24">
        <v>3602.3433696543038</v>
      </c>
      <c r="O11" s="24">
        <v>3764.0948940230719</v>
      </c>
      <c r="P11" s="24">
        <v>3913.0242507541388</v>
      </c>
      <c r="Q11" s="24">
        <v>4131.6410737986971</v>
      </c>
      <c r="R11" s="24">
        <v>4162.5642236033354</v>
      </c>
      <c r="S11" s="24">
        <v>4061.4110060849716</v>
      </c>
      <c r="T11" s="24">
        <v>4149.7183587029194</v>
      </c>
      <c r="U11" s="24">
        <v>4122.1130584587845</v>
      </c>
      <c r="V11" s="24">
        <v>4235.6648107454348</v>
      </c>
      <c r="W11" s="24">
        <v>4094.2095679952768</v>
      </c>
      <c r="X11" s="24">
        <v>4651.3871218127015</v>
      </c>
      <c r="Y11" s="24">
        <v>4956.9679458768633</v>
      </c>
      <c r="Z11" s="24">
        <v>5338.5209391722465</v>
      </c>
      <c r="AA11" s="24">
        <v>5035.514538361158</v>
      </c>
      <c r="AB11" s="24">
        <v>4940.5942865200695</v>
      </c>
      <c r="AC11" s="24">
        <v>4728.7008292845185</v>
      </c>
      <c r="AD11" s="24">
        <v>4721.8254310693337</v>
      </c>
      <c r="AE11" s="24">
        <v>4726.7955474510172</v>
      </c>
      <c r="AF11" s="24">
        <v>4749.301644395433</v>
      </c>
      <c r="AG11" s="24">
        <v>4819.5564555137807</v>
      </c>
      <c r="AH11" s="24">
        <v>4779.0425959943605</v>
      </c>
      <c r="AI11" s="24">
        <v>4860.019603849044</v>
      </c>
      <c r="AJ11" s="24">
        <v>4923.712359196621</v>
      </c>
      <c r="AK11" s="24">
        <v>4781.2664456012726</v>
      </c>
      <c r="AL11" s="24">
        <v>4579.5925130944706</v>
      </c>
      <c r="AM11" s="24">
        <v>4716.7694041649665</v>
      </c>
      <c r="AN11" s="24">
        <v>4775.7812991178098</v>
      </c>
      <c r="AO11" s="24">
        <v>4643.5900096814348</v>
      </c>
      <c r="AP11" s="24">
        <v>4773.3598111341025</v>
      </c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</row>
    <row r="12" spans="1:73" s="25" customFormat="1" ht="16.2" customHeight="1" x14ac:dyDescent="0.35">
      <c r="A12" s="3"/>
      <c r="B12" s="9"/>
      <c r="C12" s="13"/>
      <c r="D12" s="69"/>
      <c r="E12" s="68"/>
      <c r="F12" s="69"/>
      <c r="G12" s="104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1"/>
      <c r="BT12" s="401"/>
      <c r="BU12" s="401"/>
    </row>
    <row r="13" spans="1:73" s="29" customFormat="1" ht="29.4" customHeight="1" x14ac:dyDescent="0.4">
      <c r="A13" s="26"/>
      <c r="B13" s="358" t="s">
        <v>48</v>
      </c>
      <c r="C13" s="13"/>
      <c r="D13" s="1012" t="s">
        <v>445</v>
      </c>
      <c r="E13" s="1012" t="s">
        <v>446</v>
      </c>
      <c r="F13" s="185"/>
      <c r="G13" s="185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25"/>
      <c r="AO13" s="30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</row>
    <row r="14" spans="1:73" s="29" customFormat="1" x14ac:dyDescent="0.4">
      <c r="A14" s="3" t="s">
        <v>42</v>
      </c>
      <c r="B14" s="9" t="str">
        <f>A14&amp;" WEM"</f>
        <v>1. Energykt CO2-eq WEM</v>
      </c>
      <c r="C14" s="27" t="s">
        <v>48</v>
      </c>
      <c r="D14" s="15" t="s">
        <v>3</v>
      </c>
      <c r="E14" s="14" t="s">
        <v>124</v>
      </c>
      <c r="F14" s="15"/>
      <c r="G14" s="16" t="str">
        <f t="shared" ref="G14:G20" si="1">$G$5</f>
        <v>Þús. tonn CO₂-íg. | kt CO₂e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352"/>
      <c r="AP14" s="352">
        <f t="shared" ref="AP14:AP20" si="2">AP5</f>
        <v>1858.8672934650326</v>
      </c>
      <c r="AQ14" s="19">
        <v>1711.7556166329857</v>
      </c>
      <c r="AR14" s="19">
        <v>1671.3519852210879</v>
      </c>
      <c r="AS14" s="19">
        <v>1645.000807118912</v>
      </c>
      <c r="AT14" s="19">
        <v>1620.7386596957458</v>
      </c>
      <c r="AU14" s="19">
        <v>1602.3736575290834</v>
      </c>
      <c r="AV14" s="19">
        <v>1555.8613918763338</v>
      </c>
      <c r="AW14" s="19">
        <v>1518.6839682507762</v>
      </c>
      <c r="AX14" s="19">
        <v>1480.685085284003</v>
      </c>
      <c r="AY14" s="19">
        <v>1439.4489671428621</v>
      </c>
      <c r="AZ14" s="19">
        <v>1391.2663505998396</v>
      </c>
      <c r="BA14" s="19">
        <v>1316.2117473892265</v>
      </c>
      <c r="BB14" s="19">
        <v>1242.558517934895</v>
      </c>
      <c r="BC14" s="19">
        <v>1165.884692954817</v>
      </c>
      <c r="BD14" s="19">
        <v>1091.7267261061079</v>
      </c>
      <c r="BE14" s="19">
        <v>1015.232203853963</v>
      </c>
      <c r="BF14" s="19">
        <v>935.91181243172991</v>
      </c>
      <c r="BG14" s="19">
        <v>857.24121135924906</v>
      </c>
      <c r="BH14" s="19">
        <v>789.3432467811823</v>
      </c>
      <c r="BI14" s="19">
        <v>725.43197177940863</v>
      </c>
      <c r="BJ14" s="19">
        <v>672.60011227180826</v>
      </c>
      <c r="BK14" s="19">
        <v>618.20393739541259</v>
      </c>
      <c r="BL14" s="19">
        <v>568.41241826189321</v>
      </c>
      <c r="BM14" s="19">
        <v>520.3317610559377</v>
      </c>
      <c r="BN14" s="19">
        <v>475.79963010580281</v>
      </c>
      <c r="BO14" s="19">
        <v>433.87040271422825</v>
      </c>
      <c r="BP14" s="19">
        <v>398.33668134463665</v>
      </c>
      <c r="BQ14" s="19">
        <v>368.15653436583091</v>
      </c>
      <c r="BR14" s="19">
        <v>339.01195112299945</v>
      </c>
      <c r="BS14" s="19">
        <v>311.81674528311646</v>
      </c>
      <c r="BT14" s="19">
        <v>287.46998091093093</v>
      </c>
      <c r="BU14" s="19">
        <v>266.11172136705977</v>
      </c>
    </row>
    <row r="15" spans="1:73" s="31" customFormat="1" ht="16.2" customHeight="1" x14ac:dyDescent="0.4">
      <c r="A15" s="3" t="s">
        <v>43</v>
      </c>
      <c r="B15" s="9" t="str">
        <f t="shared" ref="B15:B20" si="3">A15&amp;" WEM"</f>
        <v>2. Industrial processes and product usekt CO2-eq WEM</v>
      </c>
      <c r="C15" s="27" t="s">
        <v>48</v>
      </c>
      <c r="D15" s="17" t="str">
        <f>$D$6</f>
        <v>Iðnaður og vörunotkun</v>
      </c>
      <c r="E15" s="17" t="str">
        <f>$E$6</f>
        <v>Industrial Processes and Product Use</v>
      </c>
      <c r="F15" s="15"/>
      <c r="G15" s="16" t="str">
        <f t="shared" si="1"/>
        <v>Þús. tonn CO₂-íg. | kt CO₂e</v>
      </c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352"/>
      <c r="AP15" s="352">
        <f t="shared" si="2"/>
        <v>2006.593431936052</v>
      </c>
      <c r="AQ15" s="19">
        <v>1922.0691135083291</v>
      </c>
      <c r="AR15" s="19">
        <v>2020.5799388784869</v>
      </c>
      <c r="AS15" s="19">
        <v>2025.6460359902974</v>
      </c>
      <c r="AT15" s="19">
        <v>1980.1224301859481</v>
      </c>
      <c r="AU15" s="19">
        <v>1964.8646368768868</v>
      </c>
      <c r="AV15" s="19">
        <v>1971.6731853131741</v>
      </c>
      <c r="AW15" s="19">
        <v>1954.037355046677</v>
      </c>
      <c r="AX15" s="19">
        <v>1955.8420410677154</v>
      </c>
      <c r="AY15" s="19">
        <v>1961.8055992399518</v>
      </c>
      <c r="AZ15" s="19">
        <v>1951.523030434297</v>
      </c>
      <c r="BA15" s="19">
        <v>1946.119905301161</v>
      </c>
      <c r="BB15" s="19">
        <v>1951.7309714339028</v>
      </c>
      <c r="BC15" s="19">
        <v>1951.1174814488834</v>
      </c>
      <c r="BD15" s="19">
        <v>1950.9263605840708</v>
      </c>
      <c r="BE15" s="19">
        <v>1951.2687927016188</v>
      </c>
      <c r="BF15" s="19">
        <v>1952.4844038529784</v>
      </c>
      <c r="BG15" s="19">
        <v>1952.1595330046787</v>
      </c>
      <c r="BH15" s="19">
        <v>1952.2303642991378</v>
      </c>
      <c r="BI15" s="19">
        <v>1952.2843764356417</v>
      </c>
      <c r="BJ15" s="19">
        <v>1953.2203573697723</v>
      </c>
      <c r="BK15" s="19">
        <v>1952.3735269059368</v>
      </c>
      <c r="BL15" s="19">
        <v>1952.5090866493279</v>
      </c>
      <c r="BM15" s="19">
        <v>1952.8040157962876</v>
      </c>
      <c r="BN15" s="19">
        <v>1953.4337240114019</v>
      </c>
      <c r="BO15" s="19">
        <v>1952.4216254998682</v>
      </c>
      <c r="BP15" s="19">
        <v>1952.4086433112427</v>
      </c>
      <c r="BQ15" s="19">
        <v>1952.2350002486282</v>
      </c>
      <c r="BR15" s="19">
        <v>1952.9747304440682</v>
      </c>
      <c r="BS15" s="19">
        <v>1951.9821712306273</v>
      </c>
      <c r="BT15" s="19">
        <v>1951.9338903205755</v>
      </c>
      <c r="BU15" s="19">
        <v>1949.5281323235877</v>
      </c>
    </row>
    <row r="16" spans="1:73" s="31" customFormat="1" x14ac:dyDescent="0.4">
      <c r="A16" s="3" t="s">
        <v>44</v>
      </c>
      <c r="B16" s="9" t="str">
        <f t="shared" si="3"/>
        <v>3. Agriculturekt CO2-eq WEM</v>
      </c>
      <c r="C16" s="27" t="s">
        <v>48</v>
      </c>
      <c r="D16" s="17" t="str">
        <f>$D$7</f>
        <v>Landbúnaður</v>
      </c>
      <c r="E16" s="17" t="str">
        <f>$E$7</f>
        <v>Agriculture</v>
      </c>
      <c r="F16" s="15" t="s">
        <v>48</v>
      </c>
      <c r="G16" s="16" t="str">
        <f t="shared" si="1"/>
        <v>Þús. tonn CO₂-íg. | kt CO₂e</v>
      </c>
      <c r="H16" s="18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52"/>
      <c r="AP16" s="352">
        <f t="shared" si="2"/>
        <v>669.59914464131464</v>
      </c>
      <c r="AQ16" s="19">
        <v>673.08179574460871</v>
      </c>
      <c r="AR16" s="19">
        <v>673.41835300016351</v>
      </c>
      <c r="AS16" s="19">
        <v>673.19623770214559</v>
      </c>
      <c r="AT16" s="19">
        <v>672.87568068080157</v>
      </c>
      <c r="AU16" s="19">
        <v>671.48769930953154</v>
      </c>
      <c r="AV16" s="19">
        <v>670.14649749100101</v>
      </c>
      <c r="AW16" s="19">
        <v>668.76790307461727</v>
      </c>
      <c r="AX16" s="19">
        <v>667.44268629937437</v>
      </c>
      <c r="AY16" s="19">
        <v>666.04203933505767</v>
      </c>
      <c r="AZ16" s="19">
        <v>664.69071903405177</v>
      </c>
      <c r="BA16" s="19">
        <v>663.28409003970592</v>
      </c>
      <c r="BB16" s="19">
        <v>661.92444014565592</v>
      </c>
      <c r="BC16" s="19">
        <v>660.49511607331897</v>
      </c>
      <c r="BD16" s="19">
        <v>659.11814530760034</v>
      </c>
      <c r="BE16" s="19">
        <v>657.672446781899</v>
      </c>
      <c r="BF16" s="19">
        <v>656.28103813414009</v>
      </c>
      <c r="BG16" s="19">
        <v>654.82138713748839</v>
      </c>
      <c r="BH16" s="19">
        <v>653.41491695120055</v>
      </c>
      <c r="BI16" s="19">
        <v>651.93956908437315</v>
      </c>
      <c r="BJ16" s="19">
        <v>650.51732278427949</v>
      </c>
      <c r="BK16" s="19">
        <v>649.02627346151337</v>
      </c>
      <c r="BL16" s="19">
        <v>647.58846727680464</v>
      </c>
      <c r="BM16" s="19">
        <v>646.08160134166076</v>
      </c>
      <c r="BN16" s="19">
        <v>644.62788975339924</v>
      </c>
      <c r="BO16" s="19">
        <v>643.10513697191652</v>
      </c>
      <c r="BP16" s="19">
        <v>641.63549462025765</v>
      </c>
      <c r="BQ16" s="19">
        <v>640.09671663070799</v>
      </c>
      <c r="BR16" s="19">
        <v>638.6109621117065</v>
      </c>
      <c r="BS16" s="19">
        <v>637.05601846351271</v>
      </c>
      <c r="BT16" s="19">
        <v>635.55405162020065</v>
      </c>
      <c r="BU16" s="19">
        <v>633.98283589374171</v>
      </c>
    </row>
    <row r="17" spans="1:74" s="31" customFormat="1" x14ac:dyDescent="0.4">
      <c r="A17" s="3" t="s">
        <v>45</v>
      </c>
      <c r="B17" s="9" t="str">
        <f t="shared" si="3"/>
        <v>4. LULUCFkt CO2-eq WEM</v>
      </c>
      <c r="C17" s="27" t="s">
        <v>48</v>
      </c>
      <c r="D17" s="17" t="str">
        <f>$D$8</f>
        <v>Landnotkun</v>
      </c>
      <c r="E17" s="17" t="str">
        <f>$E$8</f>
        <v>Land use, Land-Use Change and Forestry</v>
      </c>
      <c r="F17" s="15"/>
      <c r="G17" s="16" t="str">
        <f t="shared" si="1"/>
        <v>Þús. tonn CO₂-íg. | kt CO₂e</v>
      </c>
      <c r="H17" s="18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52"/>
      <c r="AP17" s="352">
        <f t="shared" si="2"/>
        <v>6268.7228611357514</v>
      </c>
      <c r="AQ17" s="19">
        <v>6249.6863533814349</v>
      </c>
      <c r="AR17" s="19">
        <v>6227.7967635500681</v>
      </c>
      <c r="AS17" s="19">
        <v>6204.2400107653002</v>
      </c>
      <c r="AT17" s="19">
        <v>6179.840341275858</v>
      </c>
      <c r="AU17" s="19">
        <v>6150.0176220246922</v>
      </c>
      <c r="AV17" s="19">
        <v>6125.7077776084025</v>
      </c>
      <c r="AW17" s="19">
        <v>6095.1775721742051</v>
      </c>
      <c r="AX17" s="19">
        <v>6064.7701417670996</v>
      </c>
      <c r="AY17" s="19">
        <v>6032.2800684581853</v>
      </c>
      <c r="AZ17" s="19">
        <v>6004.2116429620701</v>
      </c>
      <c r="BA17" s="19">
        <v>5982.5436299669618</v>
      </c>
      <c r="BB17" s="19">
        <v>5954.8134007777662</v>
      </c>
      <c r="BC17" s="19">
        <v>5957.4270600109676</v>
      </c>
      <c r="BD17" s="19">
        <v>5926.1323214150907</v>
      </c>
      <c r="BE17" s="19">
        <v>5889.1076859943687</v>
      </c>
      <c r="BF17" s="19">
        <v>5853.6971738235552</v>
      </c>
      <c r="BG17" s="19">
        <v>5804.252582649332</v>
      </c>
      <c r="BH17" s="19">
        <v>5752.7101261713688</v>
      </c>
      <c r="BI17" s="19">
        <v>5694.3938085776917</v>
      </c>
      <c r="BJ17" s="19">
        <v>5629.5255279295861</v>
      </c>
      <c r="BK17" s="19">
        <v>5569.1141567205041</v>
      </c>
      <c r="BL17" s="19">
        <v>5497.1122445964811</v>
      </c>
      <c r="BM17" s="19">
        <v>5421.9758711621362</v>
      </c>
      <c r="BN17" s="19">
        <v>5349.4493832856297</v>
      </c>
      <c r="BO17" s="19">
        <v>5268.6243560281873</v>
      </c>
      <c r="BP17" s="19">
        <v>5184.2505517841055</v>
      </c>
      <c r="BQ17" s="19">
        <v>5091.4451758713849</v>
      </c>
      <c r="BR17" s="19">
        <v>5008.5249900369499</v>
      </c>
      <c r="BS17" s="19">
        <v>4917.9161011660144</v>
      </c>
      <c r="BT17" s="19">
        <v>4828.4994498210281</v>
      </c>
      <c r="BU17" s="19">
        <v>4742.5596922296954</v>
      </c>
    </row>
    <row r="18" spans="1:74" s="31" customFormat="1" x14ac:dyDescent="0.4">
      <c r="A18" s="3" t="s">
        <v>46</v>
      </c>
      <c r="B18" s="9" t="str">
        <f t="shared" si="3"/>
        <v>5. Wastekt CO2-eq WEM</v>
      </c>
      <c r="C18" s="27" t="s">
        <v>48</v>
      </c>
      <c r="D18" s="17" t="str">
        <f>$D$9</f>
        <v>Úrgangur</v>
      </c>
      <c r="E18" s="17" t="str">
        <f>$E$9</f>
        <v>Waste</v>
      </c>
      <c r="F18" s="15" t="s">
        <v>48</v>
      </c>
      <c r="G18" s="16" t="str">
        <f t="shared" si="1"/>
        <v>Þús. tonn CO₂-íg. | kt CO₂e</v>
      </c>
      <c r="H18" s="18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52"/>
      <c r="AP18" s="352">
        <f t="shared" si="2"/>
        <v>238.29994109170406</v>
      </c>
      <c r="AQ18" s="19">
        <v>212.48530946568107</v>
      </c>
      <c r="AR18" s="19">
        <v>193.87317375364645</v>
      </c>
      <c r="AS18" s="19">
        <v>179.57487285400936</v>
      </c>
      <c r="AT18" s="19">
        <v>169.61174603485171</v>
      </c>
      <c r="AU18" s="19">
        <v>163.13574294175328</v>
      </c>
      <c r="AV18" s="19">
        <v>157.02286746362003</v>
      </c>
      <c r="AW18" s="19">
        <v>148.65843135546595</v>
      </c>
      <c r="AX18" s="19">
        <v>142.88354054478407</v>
      </c>
      <c r="AY18" s="19">
        <v>138.0108669376385</v>
      </c>
      <c r="AZ18" s="19">
        <v>133.9451514852407</v>
      </c>
      <c r="BA18" s="19">
        <v>128.72813228121259</v>
      </c>
      <c r="BB18" s="19">
        <v>122.65593941956192</v>
      </c>
      <c r="BC18" s="19">
        <v>117.15267384176663</v>
      </c>
      <c r="BD18" s="19">
        <v>112.15740197952532</v>
      </c>
      <c r="BE18" s="19">
        <v>107.61873334383559</v>
      </c>
      <c r="BF18" s="19">
        <v>103.48465704358206</v>
      </c>
      <c r="BG18" s="19">
        <v>99.718092431152741</v>
      </c>
      <c r="BH18" s="19">
        <v>96.284091462793953</v>
      </c>
      <c r="BI18" s="19">
        <v>93.145956816227596</v>
      </c>
      <c r="BJ18" s="19">
        <v>90.276772380399564</v>
      </c>
      <c r="BK18" s="19">
        <v>87.649888518310306</v>
      </c>
      <c r="BL18" s="19">
        <v>85.244516903691505</v>
      </c>
      <c r="BM18" s="19">
        <v>83.037667294676794</v>
      </c>
      <c r="BN18" s="19">
        <v>80.99943135820395</v>
      </c>
      <c r="BO18" s="19">
        <v>79.128311754715412</v>
      </c>
      <c r="BP18" s="19">
        <v>77.407691288383461</v>
      </c>
      <c r="BQ18" s="19">
        <v>75.816365049297517</v>
      </c>
      <c r="BR18" s="19">
        <v>74.348594751515037</v>
      </c>
      <c r="BS18" s="19">
        <v>72.996336297633547</v>
      </c>
      <c r="BT18" s="19">
        <v>71.750682294626444</v>
      </c>
      <c r="BU18" s="19">
        <v>70.59461363236926</v>
      </c>
    </row>
    <row r="19" spans="1:74" s="35" customFormat="1" x14ac:dyDescent="0.4">
      <c r="A19" s="3" t="s">
        <v>47</v>
      </c>
      <c r="B19" s="9" t="str">
        <f t="shared" si="3"/>
        <v>National Total, with LULUCFkt CO2-eq WEM</v>
      </c>
      <c r="C19" s="27" t="s">
        <v>48</v>
      </c>
      <c r="D19" s="24" t="str">
        <f>$D$10</f>
        <v>Samtals með landnotkun | Total with LULUCF</v>
      </c>
      <c r="E19" s="24"/>
      <c r="F19" s="22"/>
      <c r="G19" s="23" t="str">
        <f t="shared" si="1"/>
        <v>Þús. tonn CO₂-íg. | kt CO₂e</v>
      </c>
      <c r="H19" s="33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52"/>
      <c r="AP19" s="352">
        <f t="shared" si="2"/>
        <v>11042.082672269855</v>
      </c>
      <c r="AQ19" s="24">
        <v>10769.078188733039</v>
      </c>
      <c r="AR19" s="24">
        <v>10787.020214403454</v>
      </c>
      <c r="AS19" s="24">
        <v>10727.657964430666</v>
      </c>
      <c r="AT19" s="24">
        <v>10623.188857873205</v>
      </c>
      <c r="AU19" s="24">
        <v>10551.879358681947</v>
      </c>
      <c r="AV19" s="24">
        <v>10480.411719752532</v>
      </c>
      <c r="AW19" s="24">
        <v>10385.325229901742</v>
      </c>
      <c r="AX19" s="24">
        <v>10311.623494962978</v>
      </c>
      <c r="AY19" s="24">
        <v>10237.587541113695</v>
      </c>
      <c r="AZ19" s="24">
        <v>10145.636894515499</v>
      </c>
      <c r="BA19" s="24">
        <v>10036.887504978267</v>
      </c>
      <c r="BB19" s="24">
        <v>9933.6832697117807</v>
      </c>
      <c r="BC19" s="24">
        <v>9852.0770243297538</v>
      </c>
      <c r="BD19" s="24">
        <v>9740.0609553923969</v>
      </c>
      <c r="BE19" s="24">
        <v>9620.8998626756857</v>
      </c>
      <c r="BF19" s="24">
        <v>9501.8590852859852</v>
      </c>
      <c r="BG19" s="24">
        <v>9368.1928065818993</v>
      </c>
      <c r="BH19" s="24">
        <v>9243.982745665684</v>
      </c>
      <c r="BI19" s="24">
        <v>9117.1956826933438</v>
      </c>
      <c r="BJ19" s="24">
        <v>8996.1400927358445</v>
      </c>
      <c r="BK19" s="24">
        <v>8876.3677830016768</v>
      </c>
      <c r="BL19" s="24">
        <v>8750.8667336881972</v>
      </c>
      <c r="BM19" s="24">
        <v>8624.2309166506984</v>
      </c>
      <c r="BN19" s="24">
        <v>8504.3100585144384</v>
      </c>
      <c r="BO19" s="24">
        <v>8377.1498329689166</v>
      </c>
      <c r="BP19" s="24">
        <v>8254.0390623486255</v>
      </c>
      <c r="BQ19" s="24">
        <v>8127.7497921658496</v>
      </c>
      <c r="BR19" s="24">
        <v>8013.4712284672387</v>
      </c>
      <c r="BS19" s="24">
        <v>7891.7673724409042</v>
      </c>
      <c r="BT19" s="24">
        <v>7775.208054967361</v>
      </c>
      <c r="BU19" s="24">
        <v>7662.7769954464529</v>
      </c>
      <c r="BV19" s="353"/>
    </row>
    <row r="20" spans="1:74" s="35" customFormat="1" x14ac:dyDescent="0.4">
      <c r="A20" s="3" t="s">
        <v>49</v>
      </c>
      <c r="B20" s="9" t="str">
        <f t="shared" si="3"/>
        <v>National Total, without LULUCFkt CO2-eq WEM</v>
      </c>
      <c r="C20" s="27" t="s">
        <v>48</v>
      </c>
      <c r="D20" s="24" t="str">
        <f>$D$11</f>
        <v>Samtals án landnotkunar | Total without LULUCF</v>
      </c>
      <c r="E20" s="24"/>
      <c r="F20" s="22"/>
      <c r="G20" s="23" t="str">
        <f t="shared" si="1"/>
        <v>Þús. tonn CO₂-íg. | kt CO₂e</v>
      </c>
      <c r="H20" s="33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52"/>
      <c r="AP20" s="352">
        <f t="shared" si="2"/>
        <v>4773.3598111341025</v>
      </c>
      <c r="AQ20" s="24">
        <v>4519.3918353516046</v>
      </c>
      <c r="AR20" s="24">
        <v>4559.2234508533847</v>
      </c>
      <c r="AS20" s="24">
        <v>4523.4179536653646</v>
      </c>
      <c r="AT20" s="24">
        <v>4443.348516597347</v>
      </c>
      <c r="AU20" s="24">
        <v>4401.8617366572544</v>
      </c>
      <c r="AV20" s="24">
        <v>4354.7039421441295</v>
      </c>
      <c r="AW20" s="24">
        <v>4290.1476577275362</v>
      </c>
      <c r="AX20" s="24">
        <v>4246.8533531958774</v>
      </c>
      <c r="AY20" s="24">
        <v>4205.3074726555105</v>
      </c>
      <c r="AZ20" s="24">
        <v>4141.425251553429</v>
      </c>
      <c r="BA20" s="24">
        <v>4054.343875011306</v>
      </c>
      <c r="BB20" s="24">
        <v>3978.8698689340158</v>
      </c>
      <c r="BC20" s="24">
        <v>3894.6499643187858</v>
      </c>
      <c r="BD20" s="24">
        <v>3813.9286339773043</v>
      </c>
      <c r="BE20" s="24">
        <v>3731.7921766813165</v>
      </c>
      <c r="BF20" s="24">
        <v>3648.1619114624305</v>
      </c>
      <c r="BG20" s="24">
        <v>3563.9402239325686</v>
      </c>
      <c r="BH20" s="24">
        <v>3491.2726194943148</v>
      </c>
      <c r="BI20" s="24">
        <v>3422.8018741156511</v>
      </c>
      <c r="BJ20" s="24">
        <v>3366.6145648062598</v>
      </c>
      <c r="BK20" s="24">
        <v>3307.2536262811732</v>
      </c>
      <c r="BL20" s="24">
        <v>3253.754489091717</v>
      </c>
      <c r="BM20" s="24">
        <v>3202.2550454885627</v>
      </c>
      <c r="BN20" s="24">
        <v>3154.8606752288078</v>
      </c>
      <c r="BO20" s="24">
        <v>3108.5254769407288</v>
      </c>
      <c r="BP20" s="24">
        <v>3069.7885105645205</v>
      </c>
      <c r="BQ20" s="24">
        <v>3036.3046162944643</v>
      </c>
      <c r="BR20" s="24">
        <v>3004.9462384302892</v>
      </c>
      <c r="BS20" s="24">
        <v>2973.8512712748902</v>
      </c>
      <c r="BT20" s="24">
        <v>2946.7086051463334</v>
      </c>
      <c r="BU20" s="24">
        <v>2920.217303216758</v>
      </c>
      <c r="BV20" s="353"/>
    </row>
    <row r="21" spans="1:74" s="31" customFormat="1" x14ac:dyDescent="0.4">
      <c r="A21" s="26"/>
      <c r="B21" s="358"/>
      <c r="C21" s="27"/>
      <c r="D21" s="19"/>
      <c r="E21" s="19"/>
      <c r="F21" s="36"/>
      <c r="G21" s="37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</row>
    <row r="22" spans="1:74" s="615" customFormat="1" ht="47.4" customHeight="1" x14ac:dyDescent="0.75">
      <c r="A22" s="607"/>
      <c r="B22" s="608"/>
      <c r="C22" s="622"/>
      <c r="D22" s="623" t="s">
        <v>263</v>
      </c>
      <c r="E22" s="623"/>
      <c r="F22" s="623"/>
      <c r="G22" s="623"/>
      <c r="H22" s="613"/>
      <c r="I22" s="613"/>
      <c r="J22" s="613"/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613"/>
      <c r="W22" s="613"/>
      <c r="X22" s="613"/>
      <c r="Y22" s="613"/>
      <c r="Z22" s="613"/>
      <c r="AA22" s="613"/>
      <c r="AB22" s="613"/>
      <c r="AC22" s="613"/>
      <c r="AD22" s="613"/>
      <c r="AE22" s="613"/>
      <c r="AF22" s="613"/>
      <c r="AG22" s="613"/>
      <c r="AH22" s="613"/>
      <c r="AI22" s="613"/>
      <c r="AJ22" s="613"/>
      <c r="AK22" s="613"/>
      <c r="AL22" s="613"/>
      <c r="AM22" s="613"/>
      <c r="AN22" s="614"/>
      <c r="AO22" s="613"/>
      <c r="AP22" s="614"/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614"/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</row>
    <row r="23" spans="1:74" s="625" customFormat="1" ht="37.200000000000003" customHeight="1" x14ac:dyDescent="0.4">
      <c r="A23" s="616"/>
      <c r="B23" s="616"/>
      <c r="C23" s="624"/>
      <c r="D23" s="619" t="s">
        <v>239</v>
      </c>
      <c r="E23" s="620"/>
      <c r="F23" s="620"/>
      <c r="G23" s="620"/>
      <c r="H23" s="620"/>
      <c r="I23" s="62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620"/>
      <c r="AC23" s="620"/>
      <c r="AD23" s="620"/>
      <c r="AE23" s="620"/>
      <c r="AF23" s="620"/>
      <c r="AG23" s="620"/>
      <c r="AH23" s="620"/>
      <c r="AI23" s="620"/>
      <c r="AJ23" s="620"/>
      <c r="AK23" s="620"/>
      <c r="AL23" s="620"/>
      <c r="AM23" s="620"/>
      <c r="AN23" s="620"/>
      <c r="AO23" s="620"/>
      <c r="AP23" s="620"/>
      <c r="AQ23" s="620"/>
      <c r="AR23" s="620"/>
      <c r="AS23" s="620"/>
      <c r="AT23" s="620"/>
      <c r="AU23" s="620"/>
      <c r="AV23" s="620"/>
      <c r="AW23" s="620"/>
      <c r="AX23" s="620"/>
      <c r="AY23" s="620"/>
      <c r="AZ23" s="620"/>
      <c r="BA23" s="620"/>
      <c r="BB23" s="620"/>
      <c r="BC23" s="620"/>
      <c r="BD23" s="620"/>
      <c r="BE23" s="620"/>
      <c r="BF23" s="620"/>
      <c r="BG23" s="620"/>
      <c r="BH23" s="620"/>
      <c r="BI23" s="620"/>
      <c r="BJ23" s="620"/>
      <c r="BK23" s="620"/>
      <c r="BL23" s="620"/>
      <c r="BM23" s="620"/>
      <c r="BN23" s="620"/>
      <c r="BO23" s="620"/>
      <c r="BP23" s="620"/>
      <c r="BQ23" s="620"/>
      <c r="BR23" s="620"/>
      <c r="BS23" s="620"/>
      <c r="BT23" s="620"/>
      <c r="BU23" s="620"/>
    </row>
    <row r="24" spans="1:74" s="8" customFormat="1" ht="24" customHeight="1" x14ac:dyDescent="0.4">
      <c r="A24" s="4"/>
      <c r="B24" s="358" t="s">
        <v>48</v>
      </c>
      <c r="C24" s="5"/>
      <c r="D24" s="699" t="s">
        <v>397</v>
      </c>
      <c r="E24" s="6" t="s">
        <v>398</v>
      </c>
      <c r="F24" s="6"/>
      <c r="G24" s="6"/>
      <c r="H24" s="7"/>
      <c r="I24" s="8" t="s">
        <v>48</v>
      </c>
      <c r="J24" s="9"/>
      <c r="K24" s="10"/>
      <c r="L24" s="1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</row>
    <row r="25" spans="1:74" ht="16.350000000000001" customHeight="1" x14ac:dyDescent="0.4">
      <c r="A25" s="38" t="s">
        <v>50</v>
      </c>
      <c r="B25" s="9" t="s">
        <v>48</v>
      </c>
      <c r="C25" s="20" t="s">
        <v>48</v>
      </c>
      <c r="D25" s="15" t="s">
        <v>5</v>
      </c>
      <c r="E25" s="14" t="s">
        <v>136</v>
      </c>
      <c r="F25" s="15"/>
      <c r="G25" s="16" t="str">
        <f>$G$5</f>
        <v>Þús. tonn CO₂-íg. | kt CO₂e</v>
      </c>
      <c r="H25" s="17">
        <v>760.43743715697804</v>
      </c>
      <c r="I25" s="17">
        <v>738.54790545981575</v>
      </c>
      <c r="J25" s="17">
        <v>817.72261535831558</v>
      </c>
      <c r="K25" s="17">
        <v>875.35407857239727</v>
      </c>
      <c r="L25" s="17">
        <v>858.59988349043726</v>
      </c>
      <c r="M25" s="17">
        <v>921.58739468062106</v>
      </c>
      <c r="N25" s="17">
        <v>941.8355393211059</v>
      </c>
      <c r="O25" s="17">
        <v>928.43528249451151</v>
      </c>
      <c r="P25" s="17">
        <v>913.7304185060168</v>
      </c>
      <c r="Q25" s="17">
        <v>896.73666811718942</v>
      </c>
      <c r="R25" s="17">
        <v>891.62636675738338</v>
      </c>
      <c r="S25" s="17">
        <v>735.43512282644895</v>
      </c>
      <c r="T25" s="17">
        <v>833.44738299320807</v>
      </c>
      <c r="U25" s="17">
        <v>800.59763840041353</v>
      </c>
      <c r="V25" s="17">
        <v>822.10422373737845</v>
      </c>
      <c r="W25" s="17">
        <v>742.27579695757936</v>
      </c>
      <c r="X25" s="17">
        <v>676.16624793131371</v>
      </c>
      <c r="Y25" s="17">
        <v>768.90031104164586</v>
      </c>
      <c r="Z25" s="17">
        <v>706.67813037021858</v>
      </c>
      <c r="AA25" s="17">
        <v>762.70393720745039</v>
      </c>
      <c r="AB25" s="17">
        <v>726.56824505484042</v>
      </c>
      <c r="AC25" s="17">
        <v>657.20260984912954</v>
      </c>
      <c r="AD25" s="17">
        <v>651.37378056662806</v>
      </c>
      <c r="AE25" s="17">
        <v>614.72353826059737</v>
      </c>
      <c r="AF25" s="17">
        <v>606.24731041801465</v>
      </c>
      <c r="AG25" s="17">
        <v>621.21740588116916</v>
      </c>
      <c r="AH25" s="17">
        <v>518.76690503112491</v>
      </c>
      <c r="AI25" s="17">
        <v>530.38142924834813</v>
      </c>
      <c r="AJ25" s="17">
        <v>546.90019133575004</v>
      </c>
      <c r="AK25" s="17">
        <v>518.36261174209733</v>
      </c>
      <c r="AL25" s="17">
        <v>509.49421478812258</v>
      </c>
      <c r="AM25" s="17">
        <v>569.42147138918847</v>
      </c>
      <c r="AN25" s="17">
        <v>480.50043943615663</v>
      </c>
      <c r="AO25" s="17">
        <v>485.3352147538011</v>
      </c>
      <c r="AP25" s="17">
        <v>519.47716734952905</v>
      </c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</row>
    <row r="26" spans="1:74" ht="16.350000000000001" customHeight="1" x14ac:dyDescent="0.4">
      <c r="A26" s="38" t="s">
        <v>51</v>
      </c>
      <c r="B26" s="39" t="s">
        <v>48</v>
      </c>
      <c r="C26" s="20"/>
      <c r="D26" s="15" t="s">
        <v>6</v>
      </c>
      <c r="E26" s="14" t="s">
        <v>157</v>
      </c>
      <c r="F26" s="15"/>
      <c r="G26" s="16" t="str">
        <f t="shared" ref="G26:G33" si="4">$G$5</f>
        <v>Þús. tonn CO₂-íg. | kt CO₂e</v>
      </c>
      <c r="H26" s="17">
        <v>530.7009231362897</v>
      </c>
      <c r="I26" s="17">
        <v>549.17187398165254</v>
      </c>
      <c r="J26" s="17">
        <v>563.626051363991</v>
      </c>
      <c r="K26" s="17">
        <v>560.43953147724108</v>
      </c>
      <c r="L26" s="17">
        <v>568.39890359988328</v>
      </c>
      <c r="M26" s="17">
        <v>558.16030073013405</v>
      </c>
      <c r="N26" s="17">
        <v>538.78089172673845</v>
      </c>
      <c r="O26" s="17">
        <v>570.04492803345556</v>
      </c>
      <c r="P26" s="17">
        <v>578.62328150873111</v>
      </c>
      <c r="Q26" s="17">
        <v>604.18995374653491</v>
      </c>
      <c r="R26" s="17">
        <v>615.73403505372619</v>
      </c>
      <c r="S26" s="17">
        <v>622.28592329183994</v>
      </c>
      <c r="T26" s="17">
        <v>631.124057560339</v>
      </c>
      <c r="U26" s="17">
        <v>709.90818094417125</v>
      </c>
      <c r="V26" s="17">
        <v>746.64880758060849</v>
      </c>
      <c r="W26" s="17">
        <v>774.98717675893204</v>
      </c>
      <c r="X26" s="17">
        <v>883.45643465810895</v>
      </c>
      <c r="Y26" s="17">
        <v>914.96673008540438</v>
      </c>
      <c r="Z26" s="17">
        <v>861.23256083911201</v>
      </c>
      <c r="AA26" s="17">
        <v>862.03000676944737</v>
      </c>
      <c r="AB26" s="17">
        <v>814.50613831283817</v>
      </c>
      <c r="AC26" s="17">
        <v>796.11839555550409</v>
      </c>
      <c r="AD26" s="17">
        <v>790.6110668506775</v>
      </c>
      <c r="AE26" s="17">
        <v>805.08699020156052</v>
      </c>
      <c r="AF26" s="17">
        <v>804.21870801816067</v>
      </c>
      <c r="AG26" s="17">
        <v>826.77387826647612</v>
      </c>
      <c r="AH26" s="17">
        <v>901.82935475513204</v>
      </c>
      <c r="AI26" s="17">
        <v>951.38285700063068</v>
      </c>
      <c r="AJ26" s="17">
        <v>976.87378174223034</v>
      </c>
      <c r="AK26" s="17">
        <v>956.41080350449442</v>
      </c>
      <c r="AL26" s="17">
        <v>830.28358849622089</v>
      </c>
      <c r="AM26" s="17">
        <v>859.18483703617517</v>
      </c>
      <c r="AN26" s="17">
        <v>926.00597157855555</v>
      </c>
      <c r="AO26" s="17">
        <v>921.28112564453443</v>
      </c>
      <c r="AP26" s="17">
        <v>898.35428884904547</v>
      </c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</row>
    <row r="27" spans="1:74" ht="16.350000000000001" customHeight="1" x14ac:dyDescent="0.4">
      <c r="A27" s="38" t="s">
        <v>55</v>
      </c>
      <c r="B27" s="39" t="s">
        <v>48</v>
      </c>
      <c r="C27" s="20"/>
      <c r="D27" s="15" t="s">
        <v>10</v>
      </c>
      <c r="E27" s="14" t="s">
        <v>139</v>
      </c>
      <c r="F27" s="15"/>
      <c r="G27" s="16" t="str">
        <f t="shared" si="4"/>
        <v>Þús. tonn CO₂-íg. | kt CO₂e</v>
      </c>
      <c r="H27" s="17">
        <v>61.577589642877527</v>
      </c>
      <c r="I27" s="17">
        <v>70.15708735406244</v>
      </c>
      <c r="J27" s="17">
        <v>67.794432396869979</v>
      </c>
      <c r="K27" s="17">
        <v>85.575792469926853</v>
      </c>
      <c r="L27" s="17">
        <v>70.322048261690142</v>
      </c>
      <c r="M27" s="17">
        <v>82.461329775140783</v>
      </c>
      <c r="N27" s="17">
        <v>81.536379452684784</v>
      </c>
      <c r="O27" s="17">
        <v>67.142909239667517</v>
      </c>
      <c r="P27" s="17">
        <v>84.229774259520653</v>
      </c>
      <c r="Q27" s="17">
        <v>112.16488902349249</v>
      </c>
      <c r="R27" s="17">
        <v>154.18136400492713</v>
      </c>
      <c r="S27" s="17">
        <v>144.90544962773333</v>
      </c>
      <c r="T27" s="17">
        <v>148.53438607446219</v>
      </c>
      <c r="U27" s="17">
        <v>137.44419231256254</v>
      </c>
      <c r="V27" s="17">
        <v>124.06182392622254</v>
      </c>
      <c r="W27" s="17">
        <v>119.45647094208158</v>
      </c>
      <c r="X27" s="17">
        <v>129.48940884767728</v>
      </c>
      <c r="Y27" s="17">
        <v>150.17772395880564</v>
      </c>
      <c r="Z27" s="17">
        <v>188.79046841169912</v>
      </c>
      <c r="AA27" s="17">
        <v>172.68275584137766</v>
      </c>
      <c r="AB27" s="17">
        <v>194.76400000000001</v>
      </c>
      <c r="AC27" s="17">
        <v>183.41899999999998</v>
      </c>
      <c r="AD27" s="17">
        <v>175.10867999999999</v>
      </c>
      <c r="AE27" s="17">
        <v>176.96899999999999</v>
      </c>
      <c r="AF27" s="17">
        <v>206.04203132749296</v>
      </c>
      <c r="AG27" s="17">
        <v>172.30600096927682</v>
      </c>
      <c r="AH27" s="17">
        <v>163.0362457615802</v>
      </c>
      <c r="AI27" s="17">
        <v>151.95444102803788</v>
      </c>
      <c r="AJ27" s="17">
        <v>164.70900135548004</v>
      </c>
      <c r="AK27" s="17">
        <v>175.41761233554124</v>
      </c>
      <c r="AL27" s="17">
        <v>177.28072612428809</v>
      </c>
      <c r="AM27" s="17">
        <v>166.27076688024965</v>
      </c>
      <c r="AN27" s="17">
        <v>177.93383904423609</v>
      </c>
      <c r="AO27" s="17">
        <v>176.7547389664966</v>
      </c>
      <c r="AP27" s="17">
        <v>223.69103641446083</v>
      </c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</row>
    <row r="28" spans="1:74" ht="16.350000000000001" customHeight="1" x14ac:dyDescent="0.4">
      <c r="A28" s="38" t="s">
        <v>58</v>
      </c>
      <c r="B28" s="39" t="s">
        <v>48</v>
      </c>
      <c r="C28" s="20"/>
      <c r="D28" s="15" t="s">
        <v>15</v>
      </c>
      <c r="E28" s="14" t="s">
        <v>155</v>
      </c>
      <c r="F28" s="15"/>
      <c r="G28" s="16" t="str">
        <f t="shared" si="4"/>
        <v>Þús. tonn CO₂-íg. | kt CO₂e</v>
      </c>
      <c r="H28" s="17">
        <v>584.02647277080598</v>
      </c>
      <c r="I28" s="17">
        <v>511.273947602943</v>
      </c>
      <c r="J28" s="17">
        <v>301.38514547007009</v>
      </c>
      <c r="K28" s="17">
        <v>220.97402310838271</v>
      </c>
      <c r="L28" s="17">
        <v>198.23658153612337</v>
      </c>
      <c r="M28" s="17">
        <v>216.34383922975644</v>
      </c>
      <c r="N28" s="17">
        <v>186.93379884741088</v>
      </c>
      <c r="O28" s="17">
        <v>280.12409822292682</v>
      </c>
      <c r="P28" s="17">
        <v>462.00564836059743</v>
      </c>
      <c r="Q28" s="17">
        <v>537.93035391162721</v>
      </c>
      <c r="R28" s="17">
        <v>487.74535268246626</v>
      </c>
      <c r="S28" s="17">
        <v>479.60292131211997</v>
      </c>
      <c r="T28" s="17">
        <v>478.11541899358679</v>
      </c>
      <c r="U28" s="17">
        <v>473.56894969857348</v>
      </c>
      <c r="V28" s="17">
        <v>456.78557352619629</v>
      </c>
      <c r="W28" s="17">
        <v>444.80851616708713</v>
      </c>
      <c r="X28" s="17">
        <v>869.57185988485026</v>
      </c>
      <c r="Y28" s="17">
        <v>990.98126629758121</v>
      </c>
      <c r="Z28" s="17">
        <v>1556.7584922170536</v>
      </c>
      <c r="AA28" s="17">
        <v>1393.4018646112659</v>
      </c>
      <c r="AB28" s="17">
        <v>1391.9209450624717</v>
      </c>
      <c r="AC28" s="17">
        <v>1281.3105455922127</v>
      </c>
      <c r="AD28" s="17">
        <v>1328.7342410906138</v>
      </c>
      <c r="AE28" s="17">
        <v>1353.4714335748733</v>
      </c>
      <c r="AF28" s="17">
        <v>1368.5549133196287</v>
      </c>
      <c r="AG28" s="17">
        <v>1392.8009611325194</v>
      </c>
      <c r="AH28" s="17">
        <v>1354.0817500285532</v>
      </c>
      <c r="AI28" s="17">
        <v>1385.559079923195</v>
      </c>
      <c r="AJ28" s="17">
        <v>1382.5326490562106</v>
      </c>
      <c r="AK28" s="17">
        <v>1348.3578754895577</v>
      </c>
      <c r="AL28" s="17">
        <v>1328.8493581323712</v>
      </c>
      <c r="AM28" s="17">
        <v>1345.5222697586937</v>
      </c>
      <c r="AN28" s="17">
        <v>1354.2007303406649</v>
      </c>
      <c r="AO28" s="17">
        <v>1402.6496416686878</v>
      </c>
      <c r="AP28" s="17">
        <v>1360.4102725798757</v>
      </c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</row>
    <row r="29" spans="1:74" ht="16.350000000000001" customHeight="1" x14ac:dyDescent="0.4">
      <c r="A29" s="38" t="s">
        <v>223</v>
      </c>
      <c r="B29" s="39" t="s">
        <v>48</v>
      </c>
      <c r="C29" s="20"/>
      <c r="D29" s="15" t="s">
        <v>39</v>
      </c>
      <c r="E29" s="14" t="s">
        <v>156</v>
      </c>
      <c r="F29" s="15" t="s">
        <v>48</v>
      </c>
      <c r="G29" s="16" t="str">
        <f t="shared" si="4"/>
        <v>Þús. tonn CO₂-íg. | kt CO₂e</v>
      </c>
      <c r="H29" s="17">
        <v>210.55472170666667</v>
      </c>
      <c r="I29" s="17">
        <v>176.80528261706669</v>
      </c>
      <c r="J29" s="17">
        <v>188.28332888506671</v>
      </c>
      <c r="K29" s="17">
        <v>238.53559058533338</v>
      </c>
      <c r="L29" s="17">
        <v>232.49217533253338</v>
      </c>
      <c r="M29" s="17">
        <v>245.96401927226665</v>
      </c>
      <c r="N29" s="17">
        <v>235.22782835253332</v>
      </c>
      <c r="O29" s="17">
        <v>257.17700316373333</v>
      </c>
      <c r="P29" s="17">
        <v>198.58720348560001</v>
      </c>
      <c r="Q29" s="17">
        <v>257.83106455839999</v>
      </c>
      <c r="R29" s="17">
        <v>365.65036656475536</v>
      </c>
      <c r="S29" s="17">
        <v>386.08921316544843</v>
      </c>
      <c r="T29" s="17">
        <v>403.9326403148857</v>
      </c>
      <c r="U29" s="17">
        <v>402.47385277209037</v>
      </c>
      <c r="V29" s="17">
        <v>401.96736076842336</v>
      </c>
      <c r="W29" s="17">
        <v>379.94289400640002</v>
      </c>
      <c r="X29" s="17">
        <v>381.71962690880008</v>
      </c>
      <c r="Y29" s="17">
        <v>401.35289110400004</v>
      </c>
      <c r="Z29" s="17">
        <v>351.97302632799995</v>
      </c>
      <c r="AA29" s="17">
        <v>353.3588710624</v>
      </c>
      <c r="AB29" s="17">
        <v>372.56202565120009</v>
      </c>
      <c r="AC29" s="17">
        <v>380.41566972484713</v>
      </c>
      <c r="AD29" s="17">
        <v>413.43718523066929</v>
      </c>
      <c r="AE29" s="17">
        <v>409.5077919157888</v>
      </c>
      <c r="AF29" s="17">
        <v>371.44549117182407</v>
      </c>
      <c r="AG29" s="17">
        <v>404.22007331306247</v>
      </c>
      <c r="AH29" s="17">
        <v>408.51819724381278</v>
      </c>
      <c r="AI29" s="17">
        <v>431.82186025965422</v>
      </c>
      <c r="AJ29" s="17">
        <v>455.77922710046619</v>
      </c>
      <c r="AK29" s="17">
        <v>432.40627007368806</v>
      </c>
      <c r="AL29" s="17">
        <v>418.71234892799322</v>
      </c>
      <c r="AM29" s="17">
        <v>476.02459170932525</v>
      </c>
      <c r="AN29" s="17">
        <v>517.72039053568767</v>
      </c>
      <c r="AO29" s="17">
        <v>408.20430474231654</v>
      </c>
      <c r="AP29" s="17">
        <v>527.31915978550001</v>
      </c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</row>
    <row r="30" spans="1:74" ht="16.350000000000001" customHeight="1" x14ac:dyDescent="0.4">
      <c r="A30" s="38" t="s">
        <v>44</v>
      </c>
      <c r="B30" s="39" t="s">
        <v>48</v>
      </c>
      <c r="C30" s="20"/>
      <c r="D30" s="15" t="s">
        <v>2</v>
      </c>
      <c r="E30" s="14" t="s">
        <v>126</v>
      </c>
      <c r="F30" s="15" t="s">
        <v>48</v>
      </c>
      <c r="G30" s="16" t="str">
        <f t="shared" si="4"/>
        <v>Þús. tonn CO₂-íg. | kt CO₂e</v>
      </c>
      <c r="H30" s="17">
        <v>705.77087552006321</v>
      </c>
      <c r="I30" s="17">
        <v>697.0028214533628</v>
      </c>
      <c r="J30" s="17">
        <v>683.92202084320638</v>
      </c>
      <c r="K30" s="17">
        <v>687.49473372673253</v>
      </c>
      <c r="L30" s="17">
        <v>695.74790977241412</v>
      </c>
      <c r="M30" s="17">
        <v>680.42475913210365</v>
      </c>
      <c r="N30" s="17">
        <v>695.12241166629781</v>
      </c>
      <c r="O30" s="17">
        <v>690.61894133179032</v>
      </c>
      <c r="P30" s="17">
        <v>706.95978504809636</v>
      </c>
      <c r="Q30" s="17">
        <v>707.25193436506856</v>
      </c>
      <c r="R30" s="17">
        <v>693.71310457665857</v>
      </c>
      <c r="S30" s="17">
        <v>695.26233274645392</v>
      </c>
      <c r="T30" s="17">
        <v>681.04094169691996</v>
      </c>
      <c r="U30" s="17">
        <v>675.51645799623816</v>
      </c>
      <c r="V30" s="17">
        <v>673.06704432014635</v>
      </c>
      <c r="W30" s="17">
        <v>676.35624315554026</v>
      </c>
      <c r="X30" s="17">
        <v>702.77832044800687</v>
      </c>
      <c r="Y30" s="17">
        <v>719.49205725593663</v>
      </c>
      <c r="Z30" s="17">
        <v>735.25336443442507</v>
      </c>
      <c r="AA30" s="17">
        <v>723.74948806605664</v>
      </c>
      <c r="AB30" s="17">
        <v>713.24660673925041</v>
      </c>
      <c r="AC30" s="17">
        <v>712.00689898355654</v>
      </c>
      <c r="AD30" s="17">
        <v>706.41995539190134</v>
      </c>
      <c r="AE30" s="17">
        <v>699.11151229400309</v>
      </c>
      <c r="AF30" s="17">
        <v>739.8778854052988</v>
      </c>
      <c r="AG30" s="17">
        <v>731.68218474228752</v>
      </c>
      <c r="AH30" s="17">
        <v>731.62153572810257</v>
      </c>
      <c r="AI30" s="17">
        <v>735.88838119656498</v>
      </c>
      <c r="AJ30" s="17">
        <v>716.16781784889179</v>
      </c>
      <c r="AK30" s="17">
        <v>701.7238087608456</v>
      </c>
      <c r="AL30" s="17">
        <v>699.17214984267878</v>
      </c>
      <c r="AM30" s="17">
        <v>703.77815936914863</v>
      </c>
      <c r="AN30" s="17">
        <v>694.39797034091566</v>
      </c>
      <c r="AO30" s="17">
        <v>675.62542094858054</v>
      </c>
      <c r="AP30" s="17">
        <v>669.59914464131464</v>
      </c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</row>
    <row r="31" spans="1:74" ht="16.350000000000001" customHeight="1" x14ac:dyDescent="0.4">
      <c r="A31" s="38" t="s">
        <v>46</v>
      </c>
      <c r="B31" s="39" t="s">
        <v>48</v>
      </c>
      <c r="C31" s="20"/>
      <c r="D31" s="15" t="s">
        <v>1</v>
      </c>
      <c r="E31" s="14" t="s">
        <v>127</v>
      </c>
      <c r="F31" s="15"/>
      <c r="G31" s="16" t="str">
        <f t="shared" si="4"/>
        <v>Þús. tonn CO₂-íg. | kt CO₂e</v>
      </c>
      <c r="H31" s="17">
        <v>207.48113534917758</v>
      </c>
      <c r="I31" s="17">
        <v>212.03186178888896</v>
      </c>
      <c r="J31" s="17">
        <v>225.58702102180382</v>
      </c>
      <c r="K31" s="17">
        <v>236.40774938066681</v>
      </c>
      <c r="L31" s="17">
        <v>244.83071881712891</v>
      </c>
      <c r="M31" s="17">
        <v>255.41947994235574</v>
      </c>
      <c r="N31" s="17">
        <v>264.77085314091136</v>
      </c>
      <c r="O31" s="17">
        <v>272.26856425711782</v>
      </c>
      <c r="P31" s="17">
        <v>275.0555897730635</v>
      </c>
      <c r="Q31" s="17">
        <v>283.13384361127055</v>
      </c>
      <c r="R31" s="17">
        <v>292.50690649920642</v>
      </c>
      <c r="S31" s="17">
        <v>301.98699890531498</v>
      </c>
      <c r="T31" s="17">
        <v>306.63764321140201</v>
      </c>
      <c r="U31" s="17">
        <v>307.81599942507393</v>
      </c>
      <c r="V31" s="17">
        <v>316.82840962116035</v>
      </c>
      <c r="W31" s="17">
        <v>309.4550863499295</v>
      </c>
      <c r="X31" s="17">
        <v>333.07583774570196</v>
      </c>
      <c r="Y31" s="17">
        <v>336.59809645653598</v>
      </c>
      <c r="Z31" s="17">
        <v>319.07552636085347</v>
      </c>
      <c r="AA31" s="17">
        <v>309.20836584471436</v>
      </c>
      <c r="AB31" s="17">
        <v>305.67596243778644</v>
      </c>
      <c r="AC31" s="17">
        <v>286.33380167681753</v>
      </c>
      <c r="AD31" s="17">
        <v>266.02689980767514</v>
      </c>
      <c r="AE31" s="17">
        <v>265.34308724396942</v>
      </c>
      <c r="AF31" s="17">
        <v>265.43226219787164</v>
      </c>
      <c r="AG31" s="17">
        <v>264.35718550776443</v>
      </c>
      <c r="AH31" s="17">
        <v>260.49570988862047</v>
      </c>
      <c r="AI31" s="17">
        <v>257.99818993673932</v>
      </c>
      <c r="AJ31" s="17">
        <v>256.58386722176402</v>
      </c>
      <c r="AK31" s="17">
        <v>230.54539718147191</v>
      </c>
      <c r="AL31" s="17">
        <v>259.96877738955828</v>
      </c>
      <c r="AM31" s="17">
        <v>267.91523756528778</v>
      </c>
      <c r="AN31" s="17">
        <v>258.48028586415518</v>
      </c>
      <c r="AO31" s="17">
        <v>247.50886575665592</v>
      </c>
      <c r="AP31" s="17">
        <v>238.29994109170406</v>
      </c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</row>
    <row r="32" spans="1:74" ht="16.350000000000001" customHeight="1" x14ac:dyDescent="0.4">
      <c r="A32" s="3" t="s">
        <v>98</v>
      </c>
      <c r="B32" s="39" t="s">
        <v>48</v>
      </c>
      <c r="D32" s="42" t="s">
        <v>24</v>
      </c>
      <c r="E32" s="14" t="s">
        <v>189</v>
      </c>
      <c r="F32" s="42"/>
      <c r="G32" s="16" t="str">
        <f t="shared" si="4"/>
        <v>Þús. tonn CO₂-íg. | kt CO₂e</v>
      </c>
      <c r="H32" s="43">
        <f>H$33-SUM(H25:H31)</f>
        <v>594.8253032445964</v>
      </c>
      <c r="I32" s="43">
        <f t="shared" ref="I32:AO32" si="5">I$33-SUM(I25:I31)</f>
        <v>499.70975162855302</v>
      </c>
      <c r="J32" s="43">
        <f t="shared" si="5"/>
        <v>544.65959214596023</v>
      </c>
      <c r="K32" s="43">
        <f t="shared" si="5"/>
        <v>573.95671686743799</v>
      </c>
      <c r="L32" s="43">
        <f t="shared" si="5"/>
        <v>544.95081541813215</v>
      </c>
      <c r="M32" s="43">
        <f t="shared" si="5"/>
        <v>585.41440617195121</v>
      </c>
      <c r="N32" s="43">
        <f t="shared" si="5"/>
        <v>658.13566714662147</v>
      </c>
      <c r="O32" s="43">
        <f t="shared" si="5"/>
        <v>698.2831672798693</v>
      </c>
      <c r="P32" s="43">
        <f t="shared" si="5"/>
        <v>693.83254981251321</v>
      </c>
      <c r="Q32" s="43">
        <f t="shared" si="5"/>
        <v>732.40236646511357</v>
      </c>
      <c r="R32" s="43">
        <f t="shared" si="5"/>
        <v>661.40672746421205</v>
      </c>
      <c r="S32" s="43">
        <f t="shared" si="5"/>
        <v>695.84304420961189</v>
      </c>
      <c r="T32" s="43">
        <f t="shared" si="5"/>
        <v>666.88588785811544</v>
      </c>
      <c r="U32" s="43">
        <f t="shared" si="5"/>
        <v>614.78778690966055</v>
      </c>
      <c r="V32" s="43">
        <f t="shared" si="5"/>
        <v>694.20156726529831</v>
      </c>
      <c r="W32" s="43">
        <f t="shared" si="5"/>
        <v>646.9273836577272</v>
      </c>
      <c r="X32" s="43">
        <f t="shared" si="5"/>
        <v>675.12938538824255</v>
      </c>
      <c r="Y32" s="43">
        <f t="shared" si="5"/>
        <v>674.49886967695329</v>
      </c>
      <c r="Z32" s="43">
        <f t="shared" si="5"/>
        <v>618.75937021088521</v>
      </c>
      <c r="AA32" s="43">
        <f t="shared" si="5"/>
        <v>458.37924895844571</v>
      </c>
      <c r="AB32" s="43">
        <f t="shared" si="5"/>
        <v>421.35036326168211</v>
      </c>
      <c r="AC32" s="43">
        <f t="shared" si="5"/>
        <v>431.89390790245125</v>
      </c>
      <c r="AD32" s="43">
        <f t="shared" si="5"/>
        <v>390.11362213116809</v>
      </c>
      <c r="AE32" s="43">
        <f t="shared" si="5"/>
        <v>402.58219396022469</v>
      </c>
      <c r="AF32" s="43">
        <f t="shared" si="5"/>
        <v>387.48304253714196</v>
      </c>
      <c r="AG32" s="43">
        <f t="shared" si="5"/>
        <v>406.19876570122506</v>
      </c>
      <c r="AH32" s="43">
        <f t="shared" si="5"/>
        <v>440.69289755743466</v>
      </c>
      <c r="AI32" s="43">
        <f t="shared" si="5"/>
        <v>415.03336525587383</v>
      </c>
      <c r="AJ32" s="43">
        <f t="shared" si="5"/>
        <v>424.16582353582726</v>
      </c>
      <c r="AK32" s="43">
        <f t="shared" si="5"/>
        <v>418.04206651357617</v>
      </c>
      <c r="AL32" s="43">
        <f t="shared" si="5"/>
        <v>355.83134939323736</v>
      </c>
      <c r="AM32" s="43">
        <f t="shared" si="5"/>
        <v>328.6520704568984</v>
      </c>
      <c r="AN32" s="43">
        <f t="shared" si="5"/>
        <v>366.54167197743845</v>
      </c>
      <c r="AO32" s="43">
        <f t="shared" si="5"/>
        <v>326.23069720036165</v>
      </c>
      <c r="AP32" s="43">
        <f>AP$33-SUM(AP25:AP31)</f>
        <v>336.20880042267345</v>
      </c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</row>
    <row r="33" spans="1:73" ht="16.350000000000001" customHeight="1" x14ac:dyDescent="0.4">
      <c r="A33" s="3" t="s">
        <v>49</v>
      </c>
      <c r="B33" s="39" t="s">
        <v>48</v>
      </c>
      <c r="C33" s="44"/>
      <c r="D33" s="46" t="s">
        <v>135</v>
      </c>
      <c r="E33" s="45"/>
      <c r="F33" s="46"/>
      <c r="G33" s="23" t="str">
        <f t="shared" si="4"/>
        <v>Þús. tonn CO₂-íg. | kt CO₂e</v>
      </c>
      <c r="H33" s="24">
        <v>3655.3744585274558</v>
      </c>
      <c r="I33" s="24">
        <v>3454.7005318863453</v>
      </c>
      <c r="J33" s="24">
        <v>3392.9802074852832</v>
      </c>
      <c r="K33" s="24">
        <v>3478.7382161881187</v>
      </c>
      <c r="L33" s="24">
        <v>3413.5790362283424</v>
      </c>
      <c r="M33" s="24">
        <v>3545.7755289343295</v>
      </c>
      <c r="N33" s="24">
        <v>3602.3433696543038</v>
      </c>
      <c r="O33" s="24">
        <v>3764.0948940230719</v>
      </c>
      <c r="P33" s="24">
        <v>3913.0242507541388</v>
      </c>
      <c r="Q33" s="24">
        <v>4131.6410737986971</v>
      </c>
      <c r="R33" s="24">
        <v>4162.5642236033354</v>
      </c>
      <c r="S33" s="24">
        <v>4061.4110060849716</v>
      </c>
      <c r="T33" s="24">
        <v>4149.7183587029194</v>
      </c>
      <c r="U33" s="24">
        <v>4122.1130584587845</v>
      </c>
      <c r="V33" s="24">
        <v>4235.6648107454348</v>
      </c>
      <c r="W33" s="24">
        <v>4094.2095679952768</v>
      </c>
      <c r="X33" s="24">
        <v>4651.3871218127015</v>
      </c>
      <c r="Y33" s="24">
        <v>4956.9679458768633</v>
      </c>
      <c r="Z33" s="24">
        <v>5338.5209391722465</v>
      </c>
      <c r="AA33" s="24">
        <v>5035.514538361158</v>
      </c>
      <c r="AB33" s="24">
        <v>4940.5942865200695</v>
      </c>
      <c r="AC33" s="24">
        <v>4728.7008292845185</v>
      </c>
      <c r="AD33" s="24">
        <v>4721.8254310693337</v>
      </c>
      <c r="AE33" s="24">
        <v>4726.7955474510172</v>
      </c>
      <c r="AF33" s="24">
        <v>4749.301644395433</v>
      </c>
      <c r="AG33" s="24">
        <v>4819.5564555137807</v>
      </c>
      <c r="AH33" s="24">
        <v>4779.0425959943605</v>
      </c>
      <c r="AI33" s="24">
        <v>4860.019603849044</v>
      </c>
      <c r="AJ33" s="24">
        <v>4923.712359196621</v>
      </c>
      <c r="AK33" s="24">
        <v>4781.2664456012726</v>
      </c>
      <c r="AL33" s="24">
        <v>4579.5925130944706</v>
      </c>
      <c r="AM33" s="24">
        <v>4716.7694041649665</v>
      </c>
      <c r="AN33" s="24">
        <v>4775.7812991178098</v>
      </c>
      <c r="AO33" s="24">
        <v>4643.5900096814348</v>
      </c>
      <c r="AP33" s="24">
        <v>4773.3598111341025</v>
      </c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</row>
    <row r="34" spans="1:73" s="381" customFormat="1" ht="16.2" customHeight="1" x14ac:dyDescent="0.4">
      <c r="A34" s="385" t="s">
        <v>352</v>
      </c>
      <c r="B34" s="191"/>
      <c r="C34" s="380"/>
      <c r="D34" s="191" t="s">
        <v>351</v>
      </c>
      <c r="E34" s="340"/>
      <c r="F34" s="191"/>
      <c r="G34" s="382"/>
      <c r="H34" s="383">
        <f>H33-H28-H25-H26-H30</f>
        <v>1074.4387499433192</v>
      </c>
      <c r="I34" s="383">
        <f t="shared" ref="I34:AO34" si="6">I33-I28-I25-I26-I30</f>
        <v>958.70398338857137</v>
      </c>
      <c r="J34" s="383">
        <f t="shared" si="6"/>
        <v>1026.3243744497001</v>
      </c>
      <c r="K34" s="383">
        <f t="shared" si="6"/>
        <v>1134.4758493033651</v>
      </c>
      <c r="L34" s="383">
        <f t="shared" si="6"/>
        <v>1092.5957578294842</v>
      </c>
      <c r="M34" s="383">
        <f t="shared" si="6"/>
        <v>1169.2592351617141</v>
      </c>
      <c r="N34" s="383">
        <f t="shared" si="6"/>
        <v>1239.6707280927508</v>
      </c>
      <c r="O34" s="383">
        <f t="shared" si="6"/>
        <v>1294.8716439403879</v>
      </c>
      <c r="P34" s="383">
        <f t="shared" si="6"/>
        <v>1251.7051173306972</v>
      </c>
      <c r="Q34" s="383">
        <f t="shared" si="6"/>
        <v>1385.5321636582773</v>
      </c>
      <c r="R34" s="383">
        <f t="shared" si="6"/>
        <v>1473.7453645331011</v>
      </c>
      <c r="S34" s="383">
        <f t="shared" si="6"/>
        <v>1528.8247059081086</v>
      </c>
      <c r="T34" s="383">
        <f t="shared" si="6"/>
        <v>1525.9905574588652</v>
      </c>
      <c r="U34" s="383">
        <f t="shared" si="6"/>
        <v>1462.5218314193883</v>
      </c>
      <c r="V34" s="383">
        <f t="shared" si="6"/>
        <v>1537.0591615811052</v>
      </c>
      <c r="W34" s="383">
        <f t="shared" si="6"/>
        <v>1455.7818349561385</v>
      </c>
      <c r="X34" s="383">
        <f t="shared" si="6"/>
        <v>1519.4142588904219</v>
      </c>
      <c r="Y34" s="383">
        <f t="shared" si="6"/>
        <v>1562.6275811962951</v>
      </c>
      <c r="Z34" s="383">
        <f t="shared" si="6"/>
        <v>1478.5983913114371</v>
      </c>
      <c r="AA34" s="383">
        <f t="shared" si="6"/>
        <v>1293.6292417069376</v>
      </c>
      <c r="AB34" s="383">
        <f t="shared" si="6"/>
        <v>1294.3523513506686</v>
      </c>
      <c r="AC34" s="383">
        <f t="shared" si="6"/>
        <v>1282.0623793041154</v>
      </c>
      <c r="AD34" s="383">
        <f t="shared" si="6"/>
        <v>1244.686387169513</v>
      </c>
      <c r="AE34" s="383">
        <f t="shared" si="6"/>
        <v>1254.402073119983</v>
      </c>
      <c r="AF34" s="383">
        <f t="shared" si="6"/>
        <v>1230.4028272343298</v>
      </c>
      <c r="AG34" s="383">
        <f t="shared" si="6"/>
        <v>1247.0820254913283</v>
      </c>
      <c r="AH34" s="383">
        <f t="shared" si="6"/>
        <v>1272.7430504514477</v>
      </c>
      <c r="AI34" s="383">
        <f t="shared" si="6"/>
        <v>1256.8078564803052</v>
      </c>
      <c r="AJ34" s="383">
        <f t="shared" si="6"/>
        <v>1301.2379192135381</v>
      </c>
      <c r="AK34" s="383">
        <f t="shared" si="6"/>
        <v>1256.4113461042775</v>
      </c>
      <c r="AL34" s="383">
        <f t="shared" si="6"/>
        <v>1211.7932018350775</v>
      </c>
      <c r="AM34" s="383">
        <f t="shared" si="6"/>
        <v>1238.8626666117607</v>
      </c>
      <c r="AN34" s="383">
        <f t="shared" si="6"/>
        <v>1320.6761874215169</v>
      </c>
      <c r="AO34" s="383">
        <f t="shared" si="6"/>
        <v>1158.698606665831</v>
      </c>
      <c r="AP34" s="383">
        <f>AP33-AP28-AP25-AP26-AP30</f>
        <v>1325.5189377143379</v>
      </c>
      <c r="AQ34" s="384"/>
      <c r="AR34" s="384"/>
      <c r="AS34" s="384"/>
      <c r="AT34" s="384"/>
      <c r="AU34" s="384"/>
      <c r="AV34" s="384"/>
      <c r="AW34" s="384"/>
      <c r="AX34" s="384"/>
      <c r="AY34" s="384"/>
      <c r="AZ34" s="384"/>
      <c r="BA34" s="384"/>
      <c r="BB34" s="384"/>
      <c r="BC34" s="384"/>
      <c r="BD34" s="384"/>
      <c r="BE34" s="384"/>
      <c r="BF34" s="384"/>
      <c r="BG34" s="384"/>
      <c r="BH34" s="384"/>
      <c r="BI34" s="384"/>
      <c r="BJ34" s="384"/>
      <c r="BK34" s="384"/>
      <c r="BL34" s="384"/>
      <c r="BM34" s="384"/>
      <c r="BN34" s="384"/>
      <c r="BO34" s="384"/>
      <c r="BP34" s="384"/>
      <c r="BQ34" s="384"/>
      <c r="BR34" s="384"/>
      <c r="BS34" s="384"/>
      <c r="BT34" s="384"/>
      <c r="BU34" s="384"/>
    </row>
    <row r="35" spans="1:73" s="29" customFormat="1" ht="36" customHeight="1" x14ac:dyDescent="0.4">
      <c r="A35" s="26"/>
      <c r="B35" s="358" t="s">
        <v>48</v>
      </c>
      <c r="C35" s="27"/>
      <c r="D35" s="1012" t="s">
        <v>445</v>
      </c>
      <c r="E35" s="1012" t="s">
        <v>446</v>
      </c>
      <c r="F35" s="185"/>
      <c r="G35" s="185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25"/>
      <c r="AO35" s="30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</row>
    <row r="36" spans="1:73" ht="16.350000000000001" customHeight="1" x14ac:dyDescent="0.4">
      <c r="A36" s="38" t="s">
        <v>50</v>
      </c>
      <c r="B36" s="9" t="str">
        <f>A36&amp;" WEM"</f>
        <v>1.A.4.c.iii Agriculture/Forestry/Fishing - Fishing kt CO2-eq WEM</v>
      </c>
      <c r="C36" s="20" t="s">
        <v>48</v>
      </c>
      <c r="D36" s="15" t="s">
        <v>5</v>
      </c>
      <c r="E36" s="14" t="s">
        <v>136</v>
      </c>
      <c r="F36" s="15"/>
      <c r="G36" s="16" t="str">
        <f>$G$5</f>
        <v>Þús. tonn CO₂-íg. | kt CO₂e</v>
      </c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352"/>
      <c r="AP36" s="352">
        <f t="shared" ref="AP36:AP45" si="7">AP25</f>
        <v>519.47716734952905</v>
      </c>
      <c r="AQ36" s="17">
        <v>463.34906694185872</v>
      </c>
      <c r="AR36" s="17">
        <v>444.36767918026391</v>
      </c>
      <c r="AS36" s="17">
        <v>431.28981683150755</v>
      </c>
      <c r="AT36" s="17">
        <v>423.73641142171283</v>
      </c>
      <c r="AU36" s="17">
        <v>427.86577209206132</v>
      </c>
      <c r="AV36" s="17">
        <v>423.58726972707274</v>
      </c>
      <c r="AW36" s="17">
        <v>416.20412468363065</v>
      </c>
      <c r="AX36" s="17">
        <v>413.27302703445309</v>
      </c>
      <c r="AY36" s="17">
        <v>407.21519131072057</v>
      </c>
      <c r="AZ36" s="17">
        <v>397.86926384390495</v>
      </c>
      <c r="BA36" s="17">
        <v>385.49035532833642</v>
      </c>
      <c r="BB36" s="17">
        <v>370.03238984004793</v>
      </c>
      <c r="BC36" s="17">
        <v>351.13246187983253</v>
      </c>
      <c r="BD36" s="17">
        <v>328.35620140394246</v>
      </c>
      <c r="BE36" s="17">
        <v>301.83473138830249</v>
      </c>
      <c r="BF36" s="17">
        <v>272.13728274907282</v>
      </c>
      <c r="BG36" s="17">
        <v>240.60470456148562</v>
      </c>
      <c r="BH36" s="17">
        <v>219.2030651354367</v>
      </c>
      <c r="BI36" s="17">
        <v>200.82817444507441</v>
      </c>
      <c r="BJ36" s="17">
        <v>192.36552901136858</v>
      </c>
      <c r="BK36" s="17">
        <v>180.80180455838149</v>
      </c>
      <c r="BL36" s="17">
        <v>168.76373025617349</v>
      </c>
      <c r="BM36" s="17">
        <v>156.10655908863993</v>
      </c>
      <c r="BN36" s="17">
        <v>142.65967104416202</v>
      </c>
      <c r="BO36" s="17">
        <v>128.93993113114908</v>
      </c>
      <c r="BP36" s="17">
        <v>115.03316562679571</v>
      </c>
      <c r="BQ36" s="17">
        <v>101.32620395080562</v>
      </c>
      <c r="BR36" s="17">
        <v>87.921701179475249</v>
      </c>
      <c r="BS36" s="17">
        <v>75.135982296504508</v>
      </c>
      <c r="BT36" s="17">
        <v>63.071018254403626</v>
      </c>
      <c r="BU36" s="17">
        <v>51.931812227441057</v>
      </c>
    </row>
    <row r="37" spans="1:73" ht="16.350000000000001" customHeight="1" x14ac:dyDescent="0.4">
      <c r="A37" s="38" t="s">
        <v>51</v>
      </c>
      <c r="B37" s="9" t="str">
        <f t="shared" ref="B37:B44" si="8">A37&amp;" WEM"</f>
        <v>1.A.3.b Road transportationkt CO2-eq WEM</v>
      </c>
      <c r="C37" s="20" t="s">
        <v>48</v>
      </c>
      <c r="D37" s="15" t="s">
        <v>6</v>
      </c>
      <c r="E37" s="14" t="s">
        <v>157</v>
      </c>
      <c r="F37" s="15"/>
      <c r="G37" s="16" t="str">
        <f t="shared" ref="G37:G44" si="9">$G$5</f>
        <v>Þús. tonn CO₂-íg. | kt CO₂e</v>
      </c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352"/>
      <c r="AP37" s="352">
        <f t="shared" si="7"/>
        <v>898.35428884904547</v>
      </c>
      <c r="AQ37" s="17">
        <v>890.46327354796597</v>
      </c>
      <c r="AR37" s="17">
        <v>884.44372522758908</v>
      </c>
      <c r="AS37" s="17">
        <v>873.44981959967708</v>
      </c>
      <c r="AT37" s="17">
        <v>858.10750838512058</v>
      </c>
      <c r="AU37" s="17">
        <v>837.78204247471706</v>
      </c>
      <c r="AV37" s="17">
        <v>812.33946562374695</v>
      </c>
      <c r="AW37" s="17">
        <v>784.70167006315717</v>
      </c>
      <c r="AX37" s="17">
        <v>753.27959906463832</v>
      </c>
      <c r="AY37" s="17">
        <v>718.28527026754273</v>
      </c>
      <c r="AZ37" s="17">
        <v>680.06421443772138</v>
      </c>
      <c r="BA37" s="17">
        <v>623.00154202384101</v>
      </c>
      <c r="BB37" s="17">
        <v>566.44282089182093</v>
      </c>
      <c r="BC37" s="17">
        <v>510.84284663883045</v>
      </c>
      <c r="BD37" s="17">
        <v>462.14978131238462</v>
      </c>
      <c r="BE37" s="17">
        <v>415.56625417879866</v>
      </c>
      <c r="BF37" s="17">
        <v>369.88900567515753</v>
      </c>
      <c r="BG37" s="17">
        <v>327.40652035720001</v>
      </c>
      <c r="BH37" s="17">
        <v>285.8400022961809</v>
      </c>
      <c r="BI37" s="17">
        <v>245.41239536528221</v>
      </c>
      <c r="BJ37" s="17">
        <v>206.33177726918419</v>
      </c>
      <c r="BK37" s="17">
        <v>168.98130647673543</v>
      </c>
      <c r="BL37" s="17">
        <v>136.96749777773857</v>
      </c>
      <c r="BM37" s="17">
        <v>107.57023277276032</v>
      </c>
      <c r="BN37" s="17">
        <v>82.841363081975274</v>
      </c>
      <c r="BO37" s="17">
        <v>61.333286269903063</v>
      </c>
      <c r="BP37" s="17">
        <v>46.877218310270635</v>
      </c>
      <c r="BQ37" s="77">
        <v>36.03612984911117</v>
      </c>
      <c r="BR37" s="77">
        <v>27.140340896891217</v>
      </c>
      <c r="BS37" s="77">
        <v>19.489578881622432</v>
      </c>
      <c r="BT37" s="77">
        <v>13.779301255699499</v>
      </c>
      <c r="BU37" s="77">
        <v>9.8731999670806854</v>
      </c>
    </row>
    <row r="38" spans="1:73" ht="16.350000000000001" customHeight="1" x14ac:dyDescent="0.4">
      <c r="A38" s="38" t="s">
        <v>55</v>
      </c>
      <c r="B38" s="9" t="str">
        <f t="shared" si="8"/>
        <v>1.B.2.d Geothermal Energykt CO2-eq WEM</v>
      </c>
      <c r="C38" s="20" t="s">
        <v>48</v>
      </c>
      <c r="D38" s="15" t="s">
        <v>10</v>
      </c>
      <c r="E38" s="14" t="s">
        <v>139</v>
      </c>
      <c r="F38" s="15"/>
      <c r="G38" s="16" t="str">
        <f t="shared" si="9"/>
        <v>Þús. tonn CO₂-íg. | kt CO₂e</v>
      </c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352"/>
      <c r="AP38" s="352">
        <f t="shared" si="7"/>
        <v>223.69103641446083</v>
      </c>
      <c r="AQ38" s="17">
        <v>161.90923786466362</v>
      </c>
      <c r="AR38" s="17">
        <v>149.35848944804636</v>
      </c>
      <c r="AS38" s="17">
        <v>149.38516559080051</v>
      </c>
      <c r="AT38" s="17">
        <v>149.37895541529147</v>
      </c>
      <c r="AU38" s="17">
        <v>149.37420348471278</v>
      </c>
      <c r="AV38" s="17">
        <v>136.58084149693491</v>
      </c>
      <c r="AW38" s="17">
        <v>136.5789334656464</v>
      </c>
      <c r="AX38" s="17">
        <v>136.57845948243136</v>
      </c>
      <c r="AY38" s="17">
        <v>136.57941148167083</v>
      </c>
      <c r="AZ38" s="17">
        <v>136.57893480991618</v>
      </c>
      <c r="BA38" s="17">
        <v>136.57893525800614</v>
      </c>
      <c r="BB38" s="17">
        <v>136.57909384986442</v>
      </c>
      <c r="BC38" s="17">
        <v>136.5789879725956</v>
      </c>
      <c r="BD38" s="17">
        <v>136.57900569348868</v>
      </c>
      <c r="BE38" s="17">
        <v>136.57902917198288</v>
      </c>
      <c r="BF38" s="17">
        <v>136.57900761268905</v>
      </c>
      <c r="BG38" s="17">
        <v>136.57901415938687</v>
      </c>
      <c r="BH38" s="17">
        <v>136.57901698135294</v>
      </c>
      <c r="BI38" s="17">
        <v>136.57901291780962</v>
      </c>
      <c r="BJ38" s="17">
        <v>136.57901468618314</v>
      </c>
      <c r="BK38" s="17">
        <v>136.5790148617819</v>
      </c>
      <c r="BL38" s="17">
        <v>136.57901415525822</v>
      </c>
      <c r="BM38" s="17">
        <v>136.57901456774113</v>
      </c>
      <c r="BN38" s="17">
        <v>136.57901452826042</v>
      </c>
      <c r="BO38" s="17">
        <v>136.57901441708657</v>
      </c>
      <c r="BP38" s="17">
        <v>136.5790145043627</v>
      </c>
      <c r="BQ38" s="17">
        <v>136.57901448323656</v>
      </c>
      <c r="BR38" s="17">
        <v>136.57901446822859</v>
      </c>
      <c r="BS38" s="17">
        <v>136.57901448527593</v>
      </c>
      <c r="BT38" s="17">
        <v>136.57901447891368</v>
      </c>
      <c r="BU38" s="17">
        <v>136.57901447747275</v>
      </c>
    </row>
    <row r="39" spans="1:73" ht="16.350000000000001" customHeight="1" x14ac:dyDescent="0.4">
      <c r="A39" s="38" t="s">
        <v>58</v>
      </c>
      <c r="B39" s="9" t="str">
        <f t="shared" si="8"/>
        <v>2.C.3 Aluminium productionkt CO2-eq WEM</v>
      </c>
      <c r="C39" s="20" t="s">
        <v>48</v>
      </c>
      <c r="D39" s="15" t="s">
        <v>15</v>
      </c>
      <c r="E39" s="14" t="s">
        <v>155</v>
      </c>
      <c r="F39" s="15"/>
      <c r="G39" s="16" t="str">
        <f t="shared" si="9"/>
        <v>Þús. tonn CO₂-íg. | kt CO₂e</v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352"/>
      <c r="AP39" s="352">
        <f t="shared" si="7"/>
        <v>1360.4102725798757</v>
      </c>
      <c r="AQ39" s="17">
        <v>1403.4953819736136</v>
      </c>
      <c r="AR39" s="17">
        <v>1417.4348414194596</v>
      </c>
      <c r="AS39" s="17">
        <v>1421.8987938767966</v>
      </c>
      <c r="AT39" s="17">
        <v>1427.3233084237909</v>
      </c>
      <c r="AU39" s="17">
        <v>1426.833971619704</v>
      </c>
      <c r="AV39" s="17">
        <v>1427.1803369907875</v>
      </c>
      <c r="AW39" s="17">
        <v>1427.3520137399332</v>
      </c>
      <c r="AX39" s="17">
        <v>1428.4016514079547</v>
      </c>
      <c r="AY39" s="17">
        <v>1427.698379111016</v>
      </c>
      <c r="AZ39" s="17">
        <v>1427.8715617965577</v>
      </c>
      <c r="BA39" s="17">
        <v>1427.8715617965577</v>
      </c>
      <c r="BB39" s="17">
        <v>1432.9796980518365</v>
      </c>
      <c r="BC39" s="17">
        <v>1432.091195578188</v>
      </c>
      <c r="BD39" s="17">
        <v>1432.091195578188</v>
      </c>
      <c r="BE39" s="17">
        <v>1432.091195578188</v>
      </c>
      <c r="BF39" s="17">
        <v>1432.9796980518365</v>
      </c>
      <c r="BG39" s="17">
        <v>1432.091195578188</v>
      </c>
      <c r="BH39" s="17">
        <v>1432.091195578188</v>
      </c>
      <c r="BI39" s="17">
        <v>1432.091195578188</v>
      </c>
      <c r="BJ39" s="17">
        <v>1432.9796980518365</v>
      </c>
      <c r="BK39" s="17">
        <v>1432.091195578188</v>
      </c>
      <c r="BL39" s="17">
        <v>1432.091195578188</v>
      </c>
      <c r="BM39" s="17">
        <v>1432.091195578188</v>
      </c>
      <c r="BN39" s="17">
        <v>1432.9796980518365</v>
      </c>
      <c r="BO39" s="17">
        <v>1432.091195578188</v>
      </c>
      <c r="BP39" s="17">
        <v>1432.091195578188</v>
      </c>
      <c r="BQ39" s="17">
        <v>1432.091195578188</v>
      </c>
      <c r="BR39" s="17">
        <v>1432.9796980518365</v>
      </c>
      <c r="BS39" s="17">
        <v>1432.091195578188</v>
      </c>
      <c r="BT39" s="17">
        <v>1432.091195578188</v>
      </c>
      <c r="BU39" s="17">
        <v>1432.091195578188</v>
      </c>
    </row>
    <row r="40" spans="1:73" ht="16.350000000000001" customHeight="1" x14ac:dyDescent="0.4">
      <c r="A40" s="38" t="s">
        <v>223</v>
      </c>
      <c r="B40" s="9" t="str">
        <f t="shared" si="8"/>
        <v>2.C.2 Ferroalloys productionkt CO2-eq WEM</v>
      </c>
      <c r="C40" s="20" t="s">
        <v>48</v>
      </c>
      <c r="D40" s="15" t="s">
        <v>39</v>
      </c>
      <c r="E40" s="14" t="s">
        <v>156</v>
      </c>
      <c r="F40" s="15" t="s">
        <v>48</v>
      </c>
      <c r="G40" s="16" t="str">
        <f t="shared" si="9"/>
        <v>Þús. tonn CO₂-íg. | kt CO₂e</v>
      </c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352"/>
      <c r="AP40" s="352">
        <f t="shared" si="7"/>
        <v>527.31915978550001</v>
      </c>
      <c r="AQ40" s="17">
        <v>401.70042445710789</v>
      </c>
      <c r="AR40" s="17">
        <v>508.18929433327838</v>
      </c>
      <c r="AS40" s="17">
        <v>503.18929433327838</v>
      </c>
      <c r="AT40" s="17">
        <v>498.18929433327838</v>
      </c>
      <c r="AU40" s="17">
        <v>498.18929433327838</v>
      </c>
      <c r="AV40" s="17">
        <v>498.18929433327838</v>
      </c>
      <c r="AW40" s="17">
        <v>498.18929433327838</v>
      </c>
      <c r="AX40" s="17">
        <v>498.18929433327838</v>
      </c>
      <c r="AY40" s="17">
        <v>498.18929433327838</v>
      </c>
      <c r="AZ40" s="17">
        <v>498.18929433327838</v>
      </c>
      <c r="BA40" s="17">
        <v>498.18929433327838</v>
      </c>
      <c r="BB40" s="17">
        <v>498.18929433327838</v>
      </c>
      <c r="BC40" s="17">
        <v>498.18929433327838</v>
      </c>
      <c r="BD40" s="17">
        <v>498.18929433327838</v>
      </c>
      <c r="BE40" s="17">
        <v>498.18929433327838</v>
      </c>
      <c r="BF40" s="17">
        <v>498.18929433327838</v>
      </c>
      <c r="BG40" s="17">
        <v>498.18929433327838</v>
      </c>
      <c r="BH40" s="17">
        <v>498.18929433327838</v>
      </c>
      <c r="BI40" s="17">
        <v>498.18929433327838</v>
      </c>
      <c r="BJ40" s="17">
        <v>498.18929433327838</v>
      </c>
      <c r="BK40" s="17">
        <v>498.18929433327838</v>
      </c>
      <c r="BL40" s="17">
        <v>498.18929433327838</v>
      </c>
      <c r="BM40" s="17">
        <v>498.18929433327838</v>
      </c>
      <c r="BN40" s="17">
        <v>498.18929433327838</v>
      </c>
      <c r="BO40" s="17">
        <v>498.18929433327838</v>
      </c>
      <c r="BP40" s="17">
        <v>498.18929433327838</v>
      </c>
      <c r="BQ40" s="17">
        <v>498.18929433327838</v>
      </c>
      <c r="BR40" s="17">
        <v>498.18929433327838</v>
      </c>
      <c r="BS40" s="17">
        <v>498.18929433327838</v>
      </c>
      <c r="BT40" s="17">
        <v>498.18929433327838</v>
      </c>
      <c r="BU40" s="17">
        <v>498.18929433327838</v>
      </c>
    </row>
    <row r="41" spans="1:73" ht="16.350000000000001" customHeight="1" x14ac:dyDescent="0.4">
      <c r="A41" s="38" t="s">
        <v>44</v>
      </c>
      <c r="B41" s="9" t="str">
        <f t="shared" si="8"/>
        <v>3. Agriculturekt CO2-eq WEM</v>
      </c>
      <c r="C41" s="20" t="s">
        <v>48</v>
      </c>
      <c r="D41" s="15" t="s">
        <v>2</v>
      </c>
      <c r="E41" s="14" t="s">
        <v>126</v>
      </c>
      <c r="F41" s="15" t="s">
        <v>48</v>
      </c>
      <c r="G41" s="16" t="str">
        <f t="shared" si="9"/>
        <v>Þús. tonn CO₂-íg. | kt CO₂e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352"/>
      <c r="AP41" s="352">
        <f t="shared" si="7"/>
        <v>669.59914464131464</v>
      </c>
      <c r="AQ41" s="17">
        <v>673.08179574460871</v>
      </c>
      <c r="AR41" s="17">
        <v>673.41835300016351</v>
      </c>
      <c r="AS41" s="17">
        <v>673.19623770214559</v>
      </c>
      <c r="AT41" s="17">
        <v>672.87568068080157</v>
      </c>
      <c r="AU41" s="17">
        <v>671.48769930953154</v>
      </c>
      <c r="AV41" s="17">
        <v>670.14649749100101</v>
      </c>
      <c r="AW41" s="17">
        <v>668.76790307461727</v>
      </c>
      <c r="AX41" s="17">
        <v>667.44268629937437</v>
      </c>
      <c r="AY41" s="17">
        <v>666.04203933505767</v>
      </c>
      <c r="AZ41" s="17">
        <v>664.69071903405177</v>
      </c>
      <c r="BA41" s="17">
        <v>663.28409003970592</v>
      </c>
      <c r="BB41" s="17">
        <v>661.92444014565592</v>
      </c>
      <c r="BC41" s="17">
        <v>660.49511607331897</v>
      </c>
      <c r="BD41" s="17">
        <v>659.11814530760034</v>
      </c>
      <c r="BE41" s="17">
        <v>657.672446781899</v>
      </c>
      <c r="BF41" s="17">
        <v>656.28103813414009</v>
      </c>
      <c r="BG41" s="17">
        <v>654.82138713748839</v>
      </c>
      <c r="BH41" s="17">
        <v>653.41491695120055</v>
      </c>
      <c r="BI41" s="17">
        <v>651.93956908437315</v>
      </c>
      <c r="BJ41" s="17">
        <v>650.51732278427949</v>
      </c>
      <c r="BK41" s="17">
        <v>649.02627346151337</v>
      </c>
      <c r="BL41" s="17">
        <v>647.58846727680464</v>
      </c>
      <c r="BM41" s="17">
        <v>646.08160134166076</v>
      </c>
      <c r="BN41" s="17">
        <v>644.62788975339924</v>
      </c>
      <c r="BO41" s="17">
        <v>643.10513697191652</v>
      </c>
      <c r="BP41" s="17">
        <v>641.63549462025765</v>
      </c>
      <c r="BQ41" s="17">
        <v>640.09671663070799</v>
      </c>
      <c r="BR41" s="17">
        <v>638.6109621117065</v>
      </c>
      <c r="BS41" s="17">
        <v>637.05601846351271</v>
      </c>
      <c r="BT41" s="17">
        <v>635.55405162020065</v>
      </c>
      <c r="BU41" s="17">
        <v>633.98283589374171</v>
      </c>
    </row>
    <row r="42" spans="1:73" ht="16.350000000000001" customHeight="1" x14ac:dyDescent="0.4">
      <c r="A42" s="38" t="s">
        <v>46</v>
      </c>
      <c r="B42" s="9" t="str">
        <f t="shared" si="8"/>
        <v>5. Wastekt CO2-eq WEM</v>
      </c>
      <c r="C42" s="20" t="s">
        <v>48</v>
      </c>
      <c r="D42" s="15" t="s">
        <v>1</v>
      </c>
      <c r="E42" s="14" t="s">
        <v>127</v>
      </c>
      <c r="F42" s="15"/>
      <c r="G42" s="16" t="str">
        <f t="shared" si="9"/>
        <v>Þús. tonn CO₂-íg. | kt CO₂e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352"/>
      <c r="AP42" s="352">
        <f t="shared" si="7"/>
        <v>238.29994109170406</v>
      </c>
      <c r="AQ42" s="17">
        <v>212.48530946568107</v>
      </c>
      <c r="AR42" s="17">
        <v>193.87317375364645</v>
      </c>
      <c r="AS42" s="17">
        <v>179.57487285400936</v>
      </c>
      <c r="AT42" s="17">
        <v>169.61174603485171</v>
      </c>
      <c r="AU42" s="17">
        <v>163.13574294175328</v>
      </c>
      <c r="AV42" s="17">
        <v>157.02286746362003</v>
      </c>
      <c r="AW42" s="17">
        <v>148.65843135546595</v>
      </c>
      <c r="AX42" s="17">
        <v>142.88354054478407</v>
      </c>
      <c r="AY42" s="17">
        <v>138.0108669376385</v>
      </c>
      <c r="AZ42" s="17">
        <v>133.9451514852407</v>
      </c>
      <c r="BA42" s="17">
        <v>128.72813228121259</v>
      </c>
      <c r="BB42" s="17">
        <v>122.65593941956192</v>
      </c>
      <c r="BC42" s="17">
        <v>117.15267384176663</v>
      </c>
      <c r="BD42" s="17">
        <v>112.15740197952532</v>
      </c>
      <c r="BE42" s="17">
        <v>107.61873334383559</v>
      </c>
      <c r="BF42" s="17">
        <v>103.48465704358206</v>
      </c>
      <c r="BG42" s="17">
        <v>99.718092431152741</v>
      </c>
      <c r="BH42" s="17">
        <v>96.284091462793953</v>
      </c>
      <c r="BI42" s="17">
        <v>93.145956816227596</v>
      </c>
      <c r="BJ42" s="17">
        <v>90.276772380399564</v>
      </c>
      <c r="BK42" s="17">
        <v>87.649888518310306</v>
      </c>
      <c r="BL42" s="17">
        <v>85.244516903691505</v>
      </c>
      <c r="BM42" s="17">
        <v>83.037667294676794</v>
      </c>
      <c r="BN42" s="17">
        <v>80.99943135820395</v>
      </c>
      <c r="BO42" s="17">
        <v>79.128311754715412</v>
      </c>
      <c r="BP42" s="17">
        <v>77.407691288383461</v>
      </c>
      <c r="BQ42" s="17">
        <v>75.816365049297517</v>
      </c>
      <c r="BR42" s="17">
        <v>74.348594751515037</v>
      </c>
      <c r="BS42" s="17">
        <v>72.996336297633547</v>
      </c>
      <c r="BT42" s="17">
        <v>71.750682294626444</v>
      </c>
      <c r="BU42" s="17">
        <v>70.59461363236926</v>
      </c>
    </row>
    <row r="43" spans="1:73" ht="16.350000000000001" customHeight="1" x14ac:dyDescent="0.4">
      <c r="A43" s="3" t="s">
        <v>98</v>
      </c>
      <c r="B43" s="9" t="str">
        <f t="shared" si="8"/>
        <v>National Total, without LULUCF OTHER kt CO2-eq WEM</v>
      </c>
      <c r="C43" s="20" t="s">
        <v>48</v>
      </c>
      <c r="D43" s="42" t="s">
        <v>24</v>
      </c>
      <c r="E43" s="14" t="s">
        <v>189</v>
      </c>
      <c r="F43" s="42"/>
      <c r="G43" s="16" t="str">
        <f t="shared" si="9"/>
        <v>Þús. tonn CO₂-íg. | kt CO₂e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352"/>
      <c r="AP43" s="352">
        <f t="shared" si="7"/>
        <v>336.20880042267345</v>
      </c>
      <c r="AQ43" s="43">
        <f t="shared" ref="AQ43:BU43" si="10">AQ$44-SUM(AQ36:AQ42)</f>
        <v>312.907345356105</v>
      </c>
      <c r="AR43" s="43">
        <f t="shared" si="10"/>
        <v>288.13789449093747</v>
      </c>
      <c r="AS43" s="43">
        <f t="shared" si="10"/>
        <v>291.43395287714975</v>
      </c>
      <c r="AT43" s="43">
        <f t="shared" si="10"/>
        <v>244.12561190250017</v>
      </c>
      <c r="AU43" s="43">
        <f t="shared" si="10"/>
        <v>227.19301040149639</v>
      </c>
      <c r="AV43" s="43">
        <f t="shared" si="10"/>
        <v>229.65736901768832</v>
      </c>
      <c r="AW43" s="43">
        <f t="shared" si="10"/>
        <v>209.69528701180752</v>
      </c>
      <c r="AX43" s="43">
        <f t="shared" si="10"/>
        <v>206.80509502896302</v>
      </c>
      <c r="AY43" s="43">
        <f t="shared" si="10"/>
        <v>213.28701987858585</v>
      </c>
      <c r="AZ43" s="43">
        <f t="shared" si="10"/>
        <v>202.2161118127583</v>
      </c>
      <c r="BA43" s="43">
        <f t="shared" si="10"/>
        <v>191.19996395036787</v>
      </c>
      <c r="BB43" s="43">
        <f t="shared" si="10"/>
        <v>190.06619240195005</v>
      </c>
      <c r="BC43" s="43">
        <f t="shared" si="10"/>
        <v>188.16738800097528</v>
      </c>
      <c r="BD43" s="43">
        <f t="shared" si="10"/>
        <v>185.28760836889705</v>
      </c>
      <c r="BE43" s="43">
        <f t="shared" si="10"/>
        <v>182.24049190503183</v>
      </c>
      <c r="BF43" s="43">
        <f t="shared" si="10"/>
        <v>178.62192786267406</v>
      </c>
      <c r="BG43" s="43">
        <f t="shared" si="10"/>
        <v>174.53001537438877</v>
      </c>
      <c r="BH43" s="43">
        <f t="shared" si="10"/>
        <v>169.67103675588305</v>
      </c>
      <c r="BI43" s="43">
        <f t="shared" si="10"/>
        <v>164.6162755754176</v>
      </c>
      <c r="BJ43" s="43">
        <f t="shared" si="10"/>
        <v>159.3751562897296</v>
      </c>
      <c r="BK43" s="43">
        <f t="shared" si="10"/>
        <v>153.9348484929842</v>
      </c>
      <c r="BL43" s="43">
        <f t="shared" si="10"/>
        <v>148.33077281058422</v>
      </c>
      <c r="BM43" s="43">
        <f t="shared" si="10"/>
        <v>142.59948051161746</v>
      </c>
      <c r="BN43" s="43">
        <f t="shared" si="10"/>
        <v>135.98431307769215</v>
      </c>
      <c r="BO43" s="43">
        <f t="shared" si="10"/>
        <v>129.15930648449148</v>
      </c>
      <c r="BP43" s="43">
        <f t="shared" si="10"/>
        <v>121.97543630298378</v>
      </c>
      <c r="BQ43" s="43">
        <f t="shared" si="10"/>
        <v>116.16969641983906</v>
      </c>
      <c r="BR43" s="43">
        <f t="shared" si="10"/>
        <v>109.17663263735767</v>
      </c>
      <c r="BS43" s="43">
        <f t="shared" si="10"/>
        <v>102.31385093887457</v>
      </c>
      <c r="BT43" s="43">
        <f t="shared" si="10"/>
        <v>95.694047331023285</v>
      </c>
      <c r="BU43" s="43">
        <f t="shared" si="10"/>
        <v>86.975337107186533</v>
      </c>
    </row>
    <row r="44" spans="1:73" ht="16.2" customHeight="1" x14ac:dyDescent="0.4">
      <c r="A44" s="3" t="s">
        <v>49</v>
      </c>
      <c r="B44" s="9" t="str">
        <f t="shared" si="8"/>
        <v>National Total, without LULUCFkt CO2-eq WEM</v>
      </c>
      <c r="C44" s="20" t="s">
        <v>48</v>
      </c>
      <c r="D44" s="46" t="s">
        <v>135</v>
      </c>
      <c r="E44" s="45"/>
      <c r="F44" s="46"/>
      <c r="G44" s="23" t="str">
        <f t="shared" si="9"/>
        <v>Þús. tonn CO₂-íg. | kt CO₂e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352"/>
      <c r="AP44" s="352">
        <f t="shared" si="7"/>
        <v>4773.3598111341025</v>
      </c>
      <c r="AQ44" s="24">
        <v>4519.3918353516046</v>
      </c>
      <c r="AR44" s="24">
        <v>4559.2234508533847</v>
      </c>
      <c r="AS44" s="24">
        <v>4523.4179536653646</v>
      </c>
      <c r="AT44" s="24">
        <v>4443.348516597347</v>
      </c>
      <c r="AU44" s="24">
        <v>4401.8617366572544</v>
      </c>
      <c r="AV44" s="24">
        <v>4354.7039421441295</v>
      </c>
      <c r="AW44" s="24">
        <v>4290.1476577275362</v>
      </c>
      <c r="AX44" s="24">
        <v>4246.8533531958774</v>
      </c>
      <c r="AY44" s="24">
        <v>4205.3074726555105</v>
      </c>
      <c r="AZ44" s="24">
        <v>4141.425251553429</v>
      </c>
      <c r="BA44" s="24">
        <v>4054.343875011306</v>
      </c>
      <c r="BB44" s="24">
        <v>3978.8698689340158</v>
      </c>
      <c r="BC44" s="24">
        <v>3894.6499643187858</v>
      </c>
      <c r="BD44" s="24">
        <v>3813.9286339773043</v>
      </c>
      <c r="BE44" s="24">
        <v>3731.7921766813165</v>
      </c>
      <c r="BF44" s="24">
        <v>3648.1619114624305</v>
      </c>
      <c r="BG44" s="24">
        <v>3563.9402239325686</v>
      </c>
      <c r="BH44" s="24">
        <v>3491.2726194943148</v>
      </c>
      <c r="BI44" s="24">
        <v>3422.8018741156511</v>
      </c>
      <c r="BJ44" s="24">
        <v>3366.6145648062598</v>
      </c>
      <c r="BK44" s="24">
        <v>3307.2536262811732</v>
      </c>
      <c r="BL44" s="24">
        <v>3253.754489091717</v>
      </c>
      <c r="BM44" s="24">
        <v>3202.2550454885627</v>
      </c>
      <c r="BN44" s="24">
        <v>3154.8606752288078</v>
      </c>
      <c r="BO44" s="24">
        <v>3108.5254769407288</v>
      </c>
      <c r="BP44" s="24">
        <v>3069.7885105645205</v>
      </c>
      <c r="BQ44" s="24">
        <v>3036.3046162944643</v>
      </c>
      <c r="BR44" s="24">
        <v>3004.9462384302892</v>
      </c>
      <c r="BS44" s="24">
        <v>2973.8512712748902</v>
      </c>
      <c r="BT44" s="24">
        <v>2946.7086051463334</v>
      </c>
      <c r="BU44" s="24">
        <v>2920.217303216758</v>
      </c>
    </row>
    <row r="45" spans="1:73" s="381" customFormat="1" ht="16.350000000000001" customHeight="1" x14ac:dyDescent="0.4">
      <c r="A45" s="385" t="s">
        <v>352</v>
      </c>
      <c r="B45" s="191"/>
      <c r="C45" s="380"/>
      <c r="D45" s="191" t="s">
        <v>351</v>
      </c>
      <c r="E45" s="340"/>
      <c r="F45" s="191"/>
      <c r="G45" s="382"/>
      <c r="AO45" s="381">
        <f>AO34</f>
        <v>1158.698606665831</v>
      </c>
      <c r="AP45" s="381">
        <f t="shared" si="7"/>
        <v>1325.5189377143379</v>
      </c>
      <c r="AQ45" s="383">
        <f t="shared" ref="AQ45:BU45" si="11">AQ44-AQ39-AQ36-AQ37-AQ41</f>
        <v>1089.0023171435573</v>
      </c>
      <c r="AR45" s="383">
        <f t="shared" si="11"/>
        <v>1139.5588520259084</v>
      </c>
      <c r="AS45" s="383">
        <f t="shared" si="11"/>
        <v>1123.5832856552374</v>
      </c>
      <c r="AT45" s="383">
        <f t="shared" si="11"/>
        <v>1061.3056076859211</v>
      </c>
      <c r="AU45" s="383">
        <f t="shared" si="11"/>
        <v>1037.8922511612402</v>
      </c>
      <c r="AV45" s="383">
        <f t="shared" si="11"/>
        <v>1021.4503723115212</v>
      </c>
      <c r="AW45" s="383">
        <f t="shared" si="11"/>
        <v>993.12194616619797</v>
      </c>
      <c r="AX45" s="383">
        <f t="shared" si="11"/>
        <v>984.45638938945672</v>
      </c>
      <c r="AY45" s="383">
        <f t="shared" si="11"/>
        <v>986.06659263117365</v>
      </c>
      <c r="AZ45" s="383">
        <f t="shared" si="11"/>
        <v>970.92949244119347</v>
      </c>
      <c r="BA45" s="383">
        <f t="shared" si="11"/>
        <v>954.69632582286476</v>
      </c>
      <c r="BB45" s="383">
        <f t="shared" si="11"/>
        <v>947.49052000465474</v>
      </c>
      <c r="BC45" s="383">
        <f t="shared" si="11"/>
        <v>940.08834414861576</v>
      </c>
      <c r="BD45" s="383">
        <f t="shared" si="11"/>
        <v>932.21331037518871</v>
      </c>
      <c r="BE45" s="383">
        <f t="shared" si="11"/>
        <v>924.62754875412838</v>
      </c>
      <c r="BF45" s="383">
        <f t="shared" si="11"/>
        <v>916.87488685222388</v>
      </c>
      <c r="BG45" s="383">
        <f t="shared" si="11"/>
        <v>909.01641629820676</v>
      </c>
      <c r="BH45" s="383">
        <f t="shared" si="11"/>
        <v>900.72343953330858</v>
      </c>
      <c r="BI45" s="383">
        <f t="shared" si="11"/>
        <v>892.53053964273329</v>
      </c>
      <c r="BJ45" s="383">
        <f t="shared" si="11"/>
        <v>884.42023768959098</v>
      </c>
      <c r="BK45" s="383">
        <f t="shared" si="11"/>
        <v>876.35304620635486</v>
      </c>
      <c r="BL45" s="383">
        <f t="shared" si="11"/>
        <v>868.34359820281236</v>
      </c>
      <c r="BM45" s="383">
        <f t="shared" si="11"/>
        <v>860.40545670731365</v>
      </c>
      <c r="BN45" s="383">
        <f t="shared" si="11"/>
        <v>851.75205329743483</v>
      </c>
      <c r="BO45" s="383">
        <f t="shared" si="11"/>
        <v>843.05592698957219</v>
      </c>
      <c r="BP45" s="383">
        <f t="shared" si="11"/>
        <v>834.15143642900864</v>
      </c>
      <c r="BQ45" s="383">
        <f t="shared" si="11"/>
        <v>826.75437028565148</v>
      </c>
      <c r="BR45" s="383">
        <f t="shared" si="11"/>
        <v>818.29353619037954</v>
      </c>
      <c r="BS45" s="383">
        <f t="shared" si="11"/>
        <v>810.07849605506237</v>
      </c>
      <c r="BT45" s="383">
        <f t="shared" si="11"/>
        <v>802.21303843784153</v>
      </c>
      <c r="BU45" s="383">
        <f t="shared" si="11"/>
        <v>792.33825955030659</v>
      </c>
    </row>
    <row r="46" spans="1:73" s="311" customFormat="1" ht="42.6" customHeight="1" x14ac:dyDescent="0.75">
      <c r="A46" s="374"/>
      <c r="B46" s="375"/>
      <c r="C46" s="305"/>
      <c r="D46" s="306" t="s">
        <v>241</v>
      </c>
      <c r="E46" s="307"/>
      <c r="F46" s="308"/>
      <c r="G46" s="309"/>
      <c r="H46" s="53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</row>
    <row r="47" spans="1:73" s="314" customFormat="1" ht="37.200000000000003" customHeight="1" x14ac:dyDescent="0.4">
      <c r="A47" s="376"/>
      <c r="B47" s="377"/>
      <c r="C47" s="312"/>
      <c r="D47" s="261"/>
      <c r="E47" s="195"/>
      <c r="F47" s="195"/>
      <c r="G47" s="52"/>
      <c r="H47" s="262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  <c r="BF47" s="313"/>
      <c r="BG47" s="313"/>
      <c r="BH47" s="313"/>
      <c r="BI47" s="313"/>
      <c r="BJ47" s="313"/>
      <c r="BK47" s="313"/>
      <c r="BL47" s="313"/>
      <c r="BM47" s="313"/>
      <c r="BN47" s="313"/>
      <c r="BO47" s="313"/>
      <c r="BP47" s="313"/>
      <c r="BQ47" s="313"/>
      <c r="BR47" s="313"/>
      <c r="BS47" s="313"/>
      <c r="BT47" s="313"/>
      <c r="BU47" s="313"/>
    </row>
    <row r="48" spans="1:73" s="8" customFormat="1" ht="24" customHeight="1" x14ac:dyDescent="0.4">
      <c r="A48" s="4"/>
      <c r="B48" s="358" t="s">
        <v>48</v>
      </c>
      <c r="C48" s="5"/>
      <c r="D48" s="54" t="str">
        <f>$D$4</f>
        <v>Söguleg losun</v>
      </c>
      <c r="E48" s="54" t="s">
        <v>398</v>
      </c>
      <c r="F48" s="54"/>
      <c r="G48" s="54"/>
      <c r="H48" s="7"/>
      <c r="I48" s="8" t="s">
        <v>48</v>
      </c>
      <c r="J48" s="9"/>
      <c r="K48" s="10"/>
      <c r="L48" s="11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</row>
    <row r="49" spans="1:73" s="31" customFormat="1" ht="15" customHeight="1" x14ac:dyDescent="0.4">
      <c r="A49" s="38" t="s">
        <v>50</v>
      </c>
      <c r="B49" s="31" t="s">
        <v>48</v>
      </c>
      <c r="C49" s="48" t="s">
        <v>48</v>
      </c>
      <c r="D49" s="15" t="s">
        <v>5</v>
      </c>
      <c r="E49" s="14" t="s">
        <v>136</v>
      </c>
      <c r="F49" s="55"/>
      <c r="G49" s="16" t="str">
        <f>$G$5</f>
        <v>Þús. tonn CO₂-íg. | kt CO₂e</v>
      </c>
      <c r="H49" s="17">
        <v>760.43743715697804</v>
      </c>
      <c r="I49" s="17">
        <v>738.54790545981575</v>
      </c>
      <c r="J49" s="17">
        <v>817.72261535831558</v>
      </c>
      <c r="K49" s="17">
        <v>875.35407857239727</v>
      </c>
      <c r="L49" s="17">
        <v>858.59988349043726</v>
      </c>
      <c r="M49" s="17">
        <v>921.58739468062106</v>
      </c>
      <c r="N49" s="17">
        <v>941.8355393211059</v>
      </c>
      <c r="O49" s="17">
        <v>928.43528249451151</v>
      </c>
      <c r="P49" s="17">
        <v>913.7304185060168</v>
      </c>
      <c r="Q49" s="17">
        <v>896.73666811718942</v>
      </c>
      <c r="R49" s="17">
        <v>891.62636675738338</v>
      </c>
      <c r="S49" s="17">
        <v>735.43512282644895</v>
      </c>
      <c r="T49" s="17">
        <v>833.44738299320807</v>
      </c>
      <c r="U49" s="17">
        <v>800.59763840041353</v>
      </c>
      <c r="V49" s="17">
        <v>822.10422373737845</v>
      </c>
      <c r="W49" s="17">
        <v>742.27579695757936</v>
      </c>
      <c r="X49" s="17">
        <v>676.16624793131371</v>
      </c>
      <c r="Y49" s="17">
        <v>768.90031104164586</v>
      </c>
      <c r="Z49" s="17">
        <v>706.67813037021858</v>
      </c>
      <c r="AA49" s="17">
        <v>762.70393720745039</v>
      </c>
      <c r="AB49" s="17">
        <v>726.56824505484042</v>
      </c>
      <c r="AC49" s="17">
        <v>657.20260984912954</v>
      </c>
      <c r="AD49" s="17">
        <v>651.37378056662806</v>
      </c>
      <c r="AE49" s="17">
        <v>614.72353826059737</v>
      </c>
      <c r="AF49" s="17">
        <v>606.24731041801465</v>
      </c>
      <c r="AG49" s="17">
        <v>621.21740588116916</v>
      </c>
      <c r="AH49" s="17">
        <v>518.76690503112491</v>
      </c>
      <c r="AI49" s="17">
        <v>530.38142924834813</v>
      </c>
      <c r="AJ49" s="17">
        <v>546.90019133575004</v>
      </c>
      <c r="AK49" s="17">
        <v>518.36261174209733</v>
      </c>
      <c r="AL49" s="17">
        <v>509.49421478812258</v>
      </c>
      <c r="AM49" s="17">
        <v>569.42147138918847</v>
      </c>
      <c r="AN49" s="17">
        <v>480.50043943615663</v>
      </c>
      <c r="AO49" s="17">
        <v>485.3352147538011</v>
      </c>
      <c r="AP49" s="17">
        <v>519.47716734952905</v>
      </c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</row>
    <row r="50" spans="1:73" s="31" customFormat="1" ht="15" customHeight="1" x14ac:dyDescent="0.4">
      <c r="A50" s="38" t="s">
        <v>51</v>
      </c>
      <c r="B50" s="31" t="s">
        <v>48</v>
      </c>
      <c r="C50" s="48" t="s">
        <v>48</v>
      </c>
      <c r="D50" s="15" t="s">
        <v>6</v>
      </c>
      <c r="E50" s="14" t="s">
        <v>157</v>
      </c>
      <c r="F50" s="55"/>
      <c r="G50" s="16" t="str">
        <f t="shared" ref="G50:G62" si="12">$G$5</f>
        <v>Þús. tonn CO₂-íg. | kt CO₂e</v>
      </c>
      <c r="H50" s="17">
        <v>530.7009231362897</v>
      </c>
      <c r="I50" s="17">
        <v>549.17187398165254</v>
      </c>
      <c r="J50" s="17">
        <v>563.626051363991</v>
      </c>
      <c r="K50" s="17">
        <v>560.43953147724108</v>
      </c>
      <c r="L50" s="17">
        <v>568.39890359988328</v>
      </c>
      <c r="M50" s="17">
        <v>558.16030073013405</v>
      </c>
      <c r="N50" s="17">
        <v>538.78089172673845</v>
      </c>
      <c r="O50" s="17">
        <v>570.04492803345556</v>
      </c>
      <c r="P50" s="17">
        <v>578.62328150873111</v>
      </c>
      <c r="Q50" s="17">
        <v>604.18995374653491</v>
      </c>
      <c r="R50" s="17">
        <v>615.73403505372619</v>
      </c>
      <c r="S50" s="17">
        <v>622.28592329183994</v>
      </c>
      <c r="T50" s="17">
        <v>631.124057560339</v>
      </c>
      <c r="U50" s="17">
        <v>709.90818094417125</v>
      </c>
      <c r="V50" s="17">
        <v>746.64880758060849</v>
      </c>
      <c r="W50" s="17">
        <v>774.98717675893204</v>
      </c>
      <c r="X50" s="17">
        <v>883.45643465810895</v>
      </c>
      <c r="Y50" s="17">
        <v>914.96673008540438</v>
      </c>
      <c r="Z50" s="17">
        <v>861.23256083911201</v>
      </c>
      <c r="AA50" s="17">
        <v>862.03000676944737</v>
      </c>
      <c r="AB50" s="17">
        <v>814.50613831283817</v>
      </c>
      <c r="AC50" s="17">
        <v>796.11839555550409</v>
      </c>
      <c r="AD50" s="17">
        <v>790.6110668506775</v>
      </c>
      <c r="AE50" s="17">
        <v>805.08699020156052</v>
      </c>
      <c r="AF50" s="17">
        <v>804.21870801816067</v>
      </c>
      <c r="AG50" s="17">
        <v>826.77387826647612</v>
      </c>
      <c r="AH50" s="17">
        <v>901.82935475513204</v>
      </c>
      <c r="AI50" s="17">
        <v>951.38285700063068</v>
      </c>
      <c r="AJ50" s="17">
        <v>976.87378174223034</v>
      </c>
      <c r="AK50" s="17">
        <v>956.41080350449442</v>
      </c>
      <c r="AL50" s="17">
        <v>830.28358849622089</v>
      </c>
      <c r="AM50" s="17">
        <v>859.18483703617517</v>
      </c>
      <c r="AN50" s="17">
        <v>926.00597157855555</v>
      </c>
      <c r="AO50" s="17">
        <v>921.28112564453443</v>
      </c>
      <c r="AP50" s="17">
        <v>898.35428884904547</v>
      </c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</row>
    <row r="51" spans="1:73" s="31" customFormat="1" ht="15" customHeight="1" x14ac:dyDescent="0.4">
      <c r="A51" s="38" t="s">
        <v>52</v>
      </c>
      <c r="B51" s="31" t="s">
        <v>48</v>
      </c>
      <c r="C51" s="48" t="s">
        <v>48</v>
      </c>
      <c r="D51" s="15" t="s">
        <v>7</v>
      </c>
      <c r="E51" s="15" t="s">
        <v>180</v>
      </c>
      <c r="F51" s="55"/>
      <c r="G51" s="16" t="str">
        <f t="shared" si="12"/>
        <v>Þús. tonn CO₂-íg. | kt CO₂e</v>
      </c>
      <c r="H51" s="17">
        <v>33.592689259466667</v>
      </c>
      <c r="I51" s="17">
        <v>32.201725389066667</v>
      </c>
      <c r="J51" s="17">
        <v>27.224410482266663</v>
      </c>
      <c r="K51" s="17">
        <v>26.429316349733334</v>
      </c>
      <c r="L51" s="17">
        <v>24.585201250133338</v>
      </c>
      <c r="M51" s="17">
        <v>30.243199507600004</v>
      </c>
      <c r="N51" s="17">
        <v>34.290320180666669</v>
      </c>
      <c r="O51" s="17">
        <v>32.124993649733341</v>
      </c>
      <c r="P51" s="17">
        <v>33.773912666933334</v>
      </c>
      <c r="Q51" s="17">
        <v>32.33894076213334</v>
      </c>
      <c r="R51" s="17">
        <v>28.45911297426667</v>
      </c>
      <c r="S51" s="17">
        <v>25.02166617</v>
      </c>
      <c r="T51" s="17">
        <v>21.891146296399995</v>
      </c>
      <c r="U51" s="17">
        <v>22.175639411333332</v>
      </c>
      <c r="V51" s="17">
        <v>23.50699608213333</v>
      </c>
      <c r="W51" s="17">
        <v>26.205441711733332</v>
      </c>
      <c r="X51" s="17">
        <v>28.3528346704</v>
      </c>
      <c r="Y51" s="17">
        <v>22.219344058533331</v>
      </c>
      <c r="Z51" s="17">
        <v>26.434971138933332</v>
      </c>
      <c r="AA51" s="17">
        <v>21.952995185866662</v>
      </c>
      <c r="AB51" s="17">
        <v>21.298554827999997</v>
      </c>
      <c r="AC51" s="17">
        <v>20.433647872000002</v>
      </c>
      <c r="AD51" s="17">
        <v>21.0236773996</v>
      </c>
      <c r="AE51" s="17">
        <v>19.765428672133336</v>
      </c>
      <c r="AF51" s="17">
        <v>19.698405336533337</v>
      </c>
      <c r="AG51" s="17">
        <v>20.597434940666666</v>
      </c>
      <c r="AH51" s="17">
        <v>22.746395399866667</v>
      </c>
      <c r="AI51" s="17">
        <v>23.133315475600003</v>
      </c>
      <c r="AJ51" s="17">
        <v>24.770402378666667</v>
      </c>
      <c r="AK51" s="17">
        <v>27.967275005594509</v>
      </c>
      <c r="AL51" s="17">
        <v>13.2458178014416</v>
      </c>
      <c r="AM51" s="17">
        <v>20.8932966504</v>
      </c>
      <c r="AN51" s="17">
        <v>24.268683868533337</v>
      </c>
      <c r="AO51" s="17">
        <v>22.510975184533333</v>
      </c>
      <c r="AP51" s="17">
        <v>20.498994139466671</v>
      </c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</row>
    <row r="52" spans="1:73" s="31" customFormat="1" ht="15" customHeight="1" x14ac:dyDescent="0.4">
      <c r="A52" s="38" t="s">
        <v>53</v>
      </c>
      <c r="B52" s="31" t="s">
        <v>48</v>
      </c>
      <c r="C52" s="48" t="s">
        <v>48</v>
      </c>
      <c r="D52" s="15" t="s">
        <v>8</v>
      </c>
      <c r="E52" s="15" t="s">
        <v>181</v>
      </c>
      <c r="F52" s="55"/>
      <c r="G52" s="16" t="str">
        <f t="shared" si="12"/>
        <v>Þús. tonn CO₂-íg. | kt CO₂e</v>
      </c>
      <c r="H52" s="17">
        <v>32.90600746666972</v>
      </c>
      <c r="I52" s="17">
        <v>23.118334138098895</v>
      </c>
      <c r="J52" s="17">
        <v>26.214323179199816</v>
      </c>
      <c r="K52" s="17">
        <v>32.019149494338876</v>
      </c>
      <c r="L52" s="17">
        <v>26.952358460372999</v>
      </c>
      <c r="M52" s="17">
        <v>37.524068872575825</v>
      </c>
      <c r="N52" s="17">
        <v>44.252911984973828</v>
      </c>
      <c r="O52" s="17">
        <v>26.941495555809812</v>
      </c>
      <c r="P52" s="17">
        <v>20.668408117064299</v>
      </c>
      <c r="Q52" s="17">
        <v>18.20758204949944</v>
      </c>
      <c r="R52" s="17">
        <v>12.662544690953844</v>
      </c>
      <c r="S52" s="17">
        <v>20.64303991064217</v>
      </c>
      <c r="T52" s="17">
        <v>18.67809749364854</v>
      </c>
      <c r="U52" s="17">
        <v>34.257314086427598</v>
      </c>
      <c r="V52" s="17">
        <v>48.756120365330574</v>
      </c>
      <c r="W52" s="17">
        <v>22.602848961105504</v>
      </c>
      <c r="X52" s="17">
        <v>51.559117007313546</v>
      </c>
      <c r="Y52" s="17">
        <v>61.411857554830583</v>
      </c>
      <c r="Z52" s="17">
        <v>55.369715839883263</v>
      </c>
      <c r="AA52" s="17">
        <v>31.752075715851465</v>
      </c>
      <c r="AB52" s="17">
        <v>35.307139818880238</v>
      </c>
      <c r="AC52" s="17">
        <v>18.702742389807792</v>
      </c>
      <c r="AD52" s="17">
        <v>13.816453576776222</v>
      </c>
      <c r="AE52" s="17">
        <v>15.811424417433498</v>
      </c>
      <c r="AF52" s="17">
        <v>20.451208760690278</v>
      </c>
      <c r="AG52" s="17">
        <v>26.634994300275558</v>
      </c>
      <c r="AH52" s="17">
        <v>27.818002298841321</v>
      </c>
      <c r="AI52" s="17">
        <v>31.64325842576952</v>
      </c>
      <c r="AJ52" s="17">
        <v>43.469950045502642</v>
      </c>
      <c r="AK52" s="17">
        <v>53.20264126363837</v>
      </c>
      <c r="AL52" s="17">
        <v>25.153031456029371</v>
      </c>
      <c r="AM52" s="17">
        <v>17.531236914920605</v>
      </c>
      <c r="AN52" s="17">
        <v>24.542971240693355</v>
      </c>
      <c r="AO52" s="17">
        <v>16.847724414769708</v>
      </c>
      <c r="AP52" s="17">
        <v>13.457077051192861</v>
      </c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</row>
    <row r="53" spans="1:73" s="31" customFormat="1" ht="15" customHeight="1" x14ac:dyDescent="0.4">
      <c r="A53" s="38" t="s">
        <v>93</v>
      </c>
      <c r="B53" s="31" t="s">
        <v>48</v>
      </c>
      <c r="C53" s="48" t="s">
        <v>48</v>
      </c>
      <c r="D53" s="15" t="s">
        <v>9</v>
      </c>
      <c r="E53" s="15" t="s">
        <v>140</v>
      </c>
      <c r="F53" s="55"/>
      <c r="G53" s="16" t="str">
        <f t="shared" si="12"/>
        <v>Þús. tonn CO₂-íg. | kt CO₂e</v>
      </c>
      <c r="H53" s="17">
        <f>SUM(H54:H56)</f>
        <v>132.69956180646039</v>
      </c>
      <c r="I53" s="17">
        <f t="shared" ref="I53:AO53" si="13">SUM(I54:I56)</f>
        <v>126.61678523119781</v>
      </c>
      <c r="J53" s="17">
        <f t="shared" si="13"/>
        <v>118.0009741831809</v>
      </c>
      <c r="K53" s="17">
        <f t="shared" si="13"/>
        <v>127.39940553726264</v>
      </c>
      <c r="L53" s="17">
        <f t="shared" si="13"/>
        <v>129.83810631241096</v>
      </c>
      <c r="M53" s="17">
        <f t="shared" si="13"/>
        <v>163.28813671537694</v>
      </c>
      <c r="N53" s="17">
        <f t="shared" si="13"/>
        <v>158.3548337146471</v>
      </c>
      <c r="O53" s="17">
        <f t="shared" si="13"/>
        <v>190.80562569111964</v>
      </c>
      <c r="P53" s="17">
        <f t="shared" si="13"/>
        <v>192.96132537344988</v>
      </c>
      <c r="Q53" s="17">
        <f t="shared" si="13"/>
        <v>211.50313771401193</v>
      </c>
      <c r="R53" s="17">
        <f t="shared" si="13"/>
        <v>216.21632875366106</v>
      </c>
      <c r="S53" s="17">
        <f t="shared" si="13"/>
        <v>211.51012539531607</v>
      </c>
      <c r="T53" s="17">
        <f t="shared" si="13"/>
        <v>198.07630808808773</v>
      </c>
      <c r="U53" s="17">
        <f t="shared" si="13"/>
        <v>181.57113148074808</v>
      </c>
      <c r="V53" s="17">
        <f t="shared" si="13"/>
        <v>217.89668386268428</v>
      </c>
      <c r="W53" s="17">
        <f t="shared" si="13"/>
        <v>236.89254361749525</v>
      </c>
      <c r="X53" s="17">
        <f t="shared" si="13"/>
        <v>214.30164332811566</v>
      </c>
      <c r="Y53" s="17">
        <f t="shared" si="13"/>
        <v>215.83366248928385</v>
      </c>
      <c r="Z53" s="17">
        <f t="shared" si="13"/>
        <v>208.96156893666625</v>
      </c>
      <c r="AA53" s="17">
        <f t="shared" si="13"/>
        <v>145.57310735873384</v>
      </c>
      <c r="AB53" s="17">
        <f t="shared" si="13"/>
        <v>116.66251837871674</v>
      </c>
      <c r="AC53" s="17">
        <f t="shared" si="13"/>
        <v>106.724173287534</v>
      </c>
      <c r="AD53" s="17">
        <f t="shared" si="13"/>
        <v>102.82225724651585</v>
      </c>
      <c r="AE53" s="17">
        <f t="shared" si="13"/>
        <v>98.852644261966944</v>
      </c>
      <c r="AF53" s="17">
        <f t="shared" si="13"/>
        <v>117.37447230447312</v>
      </c>
      <c r="AG53" s="17">
        <f t="shared" si="13"/>
        <v>116.13287890779706</v>
      </c>
      <c r="AH53" s="17">
        <f t="shared" si="13"/>
        <v>134.94854641811295</v>
      </c>
      <c r="AI53" s="17">
        <f t="shared" si="13"/>
        <v>138.05064207733511</v>
      </c>
      <c r="AJ53" s="17">
        <f t="shared" si="13"/>
        <v>109.98053877254954</v>
      </c>
      <c r="AK53" s="17">
        <f t="shared" si="13"/>
        <v>86.903419069836744</v>
      </c>
      <c r="AL53" s="17">
        <f t="shared" si="13"/>
        <v>63.052941906921838</v>
      </c>
      <c r="AM53" s="17">
        <f t="shared" si="13"/>
        <v>60.294858741596478</v>
      </c>
      <c r="AN53" s="17">
        <f t="shared" si="13"/>
        <v>59.454653923532042</v>
      </c>
      <c r="AO53" s="17">
        <f t="shared" si="13"/>
        <v>74.887888616357046</v>
      </c>
      <c r="AP53" s="17">
        <f>SUM(AP54:AP56)</f>
        <v>76.484306234264068</v>
      </c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</row>
    <row r="54" spans="1:73" s="62" customFormat="1" ht="15" customHeight="1" x14ac:dyDescent="0.4">
      <c r="A54" s="56" t="s">
        <v>54</v>
      </c>
      <c r="B54" s="31" t="s">
        <v>48</v>
      </c>
      <c r="C54" s="57" t="s">
        <v>48</v>
      </c>
      <c r="D54" s="58" t="s">
        <v>116</v>
      </c>
      <c r="E54" s="58" t="s">
        <v>225</v>
      </c>
      <c r="F54" s="59"/>
      <c r="G54" s="60" t="str">
        <f t="shared" si="12"/>
        <v>Þús. tonn CO₂-íg. | kt CO₂e</v>
      </c>
      <c r="H54" s="61">
        <v>74.982639545333157</v>
      </c>
      <c r="I54" s="61">
        <v>67.971922009837371</v>
      </c>
      <c r="J54" s="61">
        <v>67.562311527050014</v>
      </c>
      <c r="K54" s="61">
        <v>63.593928045924869</v>
      </c>
      <c r="L54" s="61">
        <v>65.017285435646727</v>
      </c>
      <c r="M54" s="61">
        <v>85.72499806470573</v>
      </c>
      <c r="N54" s="61">
        <v>79.169412602058273</v>
      </c>
      <c r="O54" s="61">
        <v>104.85934331304806</v>
      </c>
      <c r="P54" s="61">
        <v>112.27753205367561</v>
      </c>
      <c r="Q54" s="61">
        <v>121.13935847016023</v>
      </c>
      <c r="R54" s="61">
        <v>137.21023830356512</v>
      </c>
      <c r="S54" s="61">
        <v>133.9315534091933</v>
      </c>
      <c r="T54" s="61">
        <v>120.8926220728861</v>
      </c>
      <c r="U54" s="61">
        <v>117.1562299066273</v>
      </c>
      <c r="V54" s="61">
        <v>143.30398472419637</v>
      </c>
      <c r="W54" s="61">
        <v>153.34867556426323</v>
      </c>
      <c r="X54" s="61">
        <v>155.47347068828739</v>
      </c>
      <c r="Y54" s="61">
        <v>150.22630209844354</v>
      </c>
      <c r="Z54" s="61">
        <v>151.21195603924778</v>
      </c>
      <c r="AA54" s="61">
        <v>81.563321690278016</v>
      </c>
      <c r="AB54" s="61">
        <v>58.793972395438558</v>
      </c>
      <c r="AC54" s="61">
        <v>43.323520802218695</v>
      </c>
      <c r="AD54" s="61">
        <v>38.334505025378284</v>
      </c>
      <c r="AE54" s="61">
        <v>42.266362547331113</v>
      </c>
      <c r="AF54" s="61">
        <v>50.683709063960414</v>
      </c>
      <c r="AG54" s="61">
        <v>48.856711358850148</v>
      </c>
      <c r="AH54" s="61">
        <v>75.83761095718873</v>
      </c>
      <c r="AI54" s="61">
        <v>75.263080656977706</v>
      </c>
      <c r="AJ54" s="61">
        <v>63.629045785235562</v>
      </c>
      <c r="AK54" s="61">
        <v>59.198538088775599</v>
      </c>
      <c r="AL54" s="61">
        <v>27.853814659242364</v>
      </c>
      <c r="AM54" s="61">
        <v>34.582046854338998</v>
      </c>
      <c r="AN54" s="61">
        <v>36.300129178331858</v>
      </c>
      <c r="AO54" s="61">
        <v>52.869222558500233</v>
      </c>
      <c r="AP54" s="61">
        <v>53.814387391841272</v>
      </c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</row>
    <row r="55" spans="1:73" s="62" customFormat="1" ht="15" customHeight="1" x14ac:dyDescent="0.4">
      <c r="A55" s="56" t="s">
        <v>87</v>
      </c>
      <c r="B55" s="31" t="s">
        <v>48</v>
      </c>
      <c r="C55" s="57" t="s">
        <v>48</v>
      </c>
      <c r="D55" s="58" t="s">
        <v>117</v>
      </c>
      <c r="E55" s="58" t="s">
        <v>226</v>
      </c>
      <c r="F55" s="59"/>
      <c r="G55" s="60" t="str">
        <f t="shared" si="12"/>
        <v>Þús. tonn CO₂-íg. | kt CO₂e</v>
      </c>
      <c r="H55" s="61">
        <v>55.247554061050401</v>
      </c>
      <c r="I55" s="61">
        <v>56.288687671196293</v>
      </c>
      <c r="J55" s="61">
        <v>48.242816270059024</v>
      </c>
      <c r="K55" s="61">
        <v>61.434738383689144</v>
      </c>
      <c r="L55" s="61">
        <v>62.404700683739954</v>
      </c>
      <c r="M55" s="61">
        <v>74.524556406949586</v>
      </c>
      <c r="N55" s="61">
        <v>76.238641293724569</v>
      </c>
      <c r="O55" s="61">
        <v>82.395635050655343</v>
      </c>
      <c r="P55" s="61">
        <v>77.093031193394154</v>
      </c>
      <c r="Q55" s="61">
        <v>86.427977833676835</v>
      </c>
      <c r="R55" s="61">
        <v>74.982582615606177</v>
      </c>
      <c r="S55" s="61">
        <v>73.642640544184644</v>
      </c>
      <c r="T55" s="61">
        <v>73.497740638119481</v>
      </c>
      <c r="U55" s="61">
        <v>60.974645742914106</v>
      </c>
      <c r="V55" s="61">
        <v>70.496955012315098</v>
      </c>
      <c r="W55" s="61">
        <v>79.060496201469192</v>
      </c>
      <c r="X55" s="61">
        <v>54.826638957596636</v>
      </c>
      <c r="Y55" s="61">
        <v>61.177889123524778</v>
      </c>
      <c r="Z55" s="61">
        <v>51.157281912590193</v>
      </c>
      <c r="AA55" s="61">
        <v>57.876695249528723</v>
      </c>
      <c r="AB55" s="61">
        <v>51.699905832246607</v>
      </c>
      <c r="AC55" s="61">
        <v>51.500628224519339</v>
      </c>
      <c r="AD55" s="61">
        <v>62.243211966171408</v>
      </c>
      <c r="AE55" s="61">
        <v>54.429924804071504</v>
      </c>
      <c r="AF55" s="61">
        <v>64.034481280916623</v>
      </c>
      <c r="AG55" s="61">
        <v>64.579098521879345</v>
      </c>
      <c r="AH55" s="61">
        <v>56.487568259996394</v>
      </c>
      <c r="AI55" s="61">
        <v>60.061285825731495</v>
      </c>
      <c r="AJ55" s="61">
        <v>44.206970646946694</v>
      </c>
      <c r="AK55" s="61">
        <v>25.988802772860733</v>
      </c>
      <c r="AL55" s="61">
        <v>32.91334744479213</v>
      </c>
      <c r="AM55" s="61">
        <v>22.59934835452195</v>
      </c>
      <c r="AN55" s="61">
        <v>21.946797513646029</v>
      </c>
      <c r="AO55" s="61">
        <v>21.942146035012623</v>
      </c>
      <c r="AP55" s="61">
        <v>21.751104234845265</v>
      </c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</row>
    <row r="56" spans="1:73" s="62" customFormat="1" ht="15" customHeight="1" x14ac:dyDescent="0.4">
      <c r="A56" s="56" t="s">
        <v>86</v>
      </c>
      <c r="B56" s="31" t="s">
        <v>48</v>
      </c>
      <c r="C56" s="57" t="s">
        <v>48</v>
      </c>
      <c r="D56" s="58" t="s">
        <v>118</v>
      </c>
      <c r="E56" s="58" t="s">
        <v>227</v>
      </c>
      <c r="F56" s="59"/>
      <c r="G56" s="60" t="str">
        <f t="shared" si="12"/>
        <v>Þús. tonn CO₂-íg. | kt CO₂e</v>
      </c>
      <c r="H56" s="61">
        <v>2.4693682000768433</v>
      </c>
      <c r="I56" s="61">
        <v>2.3561755501641559</v>
      </c>
      <c r="J56" s="61">
        <v>2.1958463860718598</v>
      </c>
      <c r="K56" s="61">
        <v>2.370739107648614</v>
      </c>
      <c r="L56" s="61">
        <v>2.4161201930242919</v>
      </c>
      <c r="M56" s="61">
        <v>3.0385822437216325</v>
      </c>
      <c r="N56" s="61">
        <v>2.9467798188642442</v>
      </c>
      <c r="O56" s="61">
        <v>3.5506473274162493</v>
      </c>
      <c r="P56" s="61">
        <v>3.5907621263801364</v>
      </c>
      <c r="Q56" s="61">
        <v>3.9358014101748715</v>
      </c>
      <c r="R56" s="61">
        <v>4.0235078344897568</v>
      </c>
      <c r="S56" s="61">
        <v>3.9359314419381248</v>
      </c>
      <c r="T56" s="61">
        <v>3.685945377082132</v>
      </c>
      <c r="U56" s="61">
        <v>3.4402558312066791</v>
      </c>
      <c r="V56" s="61">
        <v>4.0957441261728418</v>
      </c>
      <c r="W56" s="61">
        <v>4.483371851762822</v>
      </c>
      <c r="X56" s="61">
        <v>4.0015336822316279</v>
      </c>
      <c r="Y56" s="61">
        <v>4.4294712673155363</v>
      </c>
      <c r="Z56" s="61">
        <v>6.5923309848282692</v>
      </c>
      <c r="AA56" s="61">
        <v>6.1330904189270887</v>
      </c>
      <c r="AB56" s="61">
        <v>6.1686401510315658</v>
      </c>
      <c r="AC56" s="61">
        <v>11.900024260795965</v>
      </c>
      <c r="AD56" s="61">
        <v>2.2445402549661475</v>
      </c>
      <c r="AE56" s="61">
        <v>2.1563569105643312</v>
      </c>
      <c r="AF56" s="61">
        <v>2.656281959596086</v>
      </c>
      <c r="AG56" s="61">
        <v>2.6970690270675708</v>
      </c>
      <c r="AH56" s="61">
        <v>2.623367200927845</v>
      </c>
      <c r="AI56" s="61">
        <v>2.7262755946259087</v>
      </c>
      <c r="AJ56" s="61">
        <v>2.1445223403672902</v>
      </c>
      <c r="AK56" s="61">
        <v>1.7160782082004176</v>
      </c>
      <c r="AL56" s="61">
        <v>2.2857798028873417</v>
      </c>
      <c r="AM56" s="82">
        <v>3.1134635327355329</v>
      </c>
      <c r="AN56" s="82">
        <v>1.2077272315541543</v>
      </c>
      <c r="AO56" s="82">
        <v>7.6520022844189489E-2</v>
      </c>
      <c r="AP56" s="82">
        <v>0.91881460757752842</v>
      </c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</row>
    <row r="57" spans="1:73" s="31" customFormat="1" x14ac:dyDescent="0.4">
      <c r="A57" s="38" t="s">
        <v>100</v>
      </c>
      <c r="B57" s="31" t="s">
        <v>48</v>
      </c>
      <c r="C57" s="57" t="s">
        <v>48</v>
      </c>
      <c r="D57" s="15" t="s">
        <v>215</v>
      </c>
      <c r="E57" s="15" t="s">
        <v>182</v>
      </c>
      <c r="F57" s="15"/>
      <c r="G57" s="16" t="str">
        <f t="shared" si="12"/>
        <v>Þús. tonn CO₂-íg. | kt CO₂e</v>
      </c>
      <c r="H57" s="17">
        <f>H58-H59</f>
        <v>238.3019964738865</v>
      </c>
      <c r="I57" s="17">
        <f t="shared" ref="I57:AO57" si="14">I58-I59</f>
        <v>167.10541943108461</v>
      </c>
      <c r="J57" s="17">
        <f t="shared" si="14"/>
        <v>230.44269536273933</v>
      </c>
      <c r="K57" s="17">
        <f t="shared" si="14"/>
        <v>249.20649489267907</v>
      </c>
      <c r="L57" s="17">
        <f t="shared" si="14"/>
        <v>228.70557320557305</v>
      </c>
      <c r="M57" s="17">
        <f t="shared" si="14"/>
        <v>216.97160320890606</v>
      </c>
      <c r="N57" s="17">
        <f t="shared" si="14"/>
        <v>264.1077975486719</v>
      </c>
      <c r="O57" s="17">
        <f t="shared" si="14"/>
        <v>302.32644075888612</v>
      </c>
      <c r="P57" s="17">
        <f t="shared" si="14"/>
        <v>273.08893237380107</v>
      </c>
      <c r="Q57" s="17">
        <f t="shared" si="14"/>
        <v>280.3186926905546</v>
      </c>
      <c r="R57" s="17">
        <f t="shared" si="14"/>
        <v>226.43051087206067</v>
      </c>
      <c r="S57" s="17">
        <f t="shared" si="14"/>
        <v>263.34738966869645</v>
      </c>
      <c r="T57" s="17">
        <f>T58-T59</f>
        <v>279.42915581781835</v>
      </c>
      <c r="U57" s="17">
        <f t="shared" si="14"/>
        <v>257.63780676350137</v>
      </c>
      <c r="V57" s="17">
        <f t="shared" si="14"/>
        <v>239.60836209868449</v>
      </c>
      <c r="W57" s="17">
        <f t="shared" si="14"/>
        <v>185.16106618658975</v>
      </c>
      <c r="X57" s="17">
        <f t="shared" si="14"/>
        <v>189.21272415501139</v>
      </c>
      <c r="Y57" s="17">
        <f t="shared" si="14"/>
        <v>183.90268549207772</v>
      </c>
      <c r="Z57" s="17">
        <f t="shared" si="14"/>
        <v>160.63851217332606</v>
      </c>
      <c r="AA57" s="17">
        <f t="shared" si="14"/>
        <v>116.71004879325513</v>
      </c>
      <c r="AB57" s="17">
        <f t="shared" si="14"/>
        <v>84.411799420601639</v>
      </c>
      <c r="AC57" s="17">
        <f t="shared" si="14"/>
        <v>98.726782685505782</v>
      </c>
      <c r="AD57" s="17">
        <f t="shared" si="14"/>
        <v>83.589289785807523</v>
      </c>
      <c r="AE57" s="17">
        <f t="shared" si="14"/>
        <v>74.708501704446064</v>
      </c>
      <c r="AF57" s="17">
        <f t="shared" si="14"/>
        <v>31.896693599301095</v>
      </c>
      <c r="AG57" s="17">
        <f t="shared" si="14"/>
        <v>61.741052156079363</v>
      </c>
      <c r="AH57" s="17">
        <f t="shared" si="14"/>
        <v>59.934001713100628</v>
      </c>
      <c r="AI57" s="17">
        <f t="shared" si="14"/>
        <v>31.319911894929604</v>
      </c>
      <c r="AJ57" s="17">
        <f t="shared" si="14"/>
        <v>37.86915942906451</v>
      </c>
      <c r="AK57" s="17">
        <f t="shared" si="14"/>
        <v>28.604367521815199</v>
      </c>
      <c r="AL57" s="17">
        <f t="shared" si="14"/>
        <v>32.045116125792717</v>
      </c>
      <c r="AM57" s="17">
        <f t="shared" si="14"/>
        <v>43.33816858690497</v>
      </c>
      <c r="AN57" s="17">
        <f t="shared" si="14"/>
        <v>95.326881433433343</v>
      </c>
      <c r="AO57" s="17">
        <f t="shared" si="14"/>
        <v>56.87537960665744</v>
      </c>
      <c r="AP57" s="17">
        <f>AP58-AP59</f>
        <v>79.187330431701042</v>
      </c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</row>
    <row r="58" spans="1:73" s="62" customFormat="1" hidden="1" x14ac:dyDescent="0.4">
      <c r="A58" s="56" t="s">
        <v>219</v>
      </c>
      <c r="B58" s="31" t="s">
        <v>48</v>
      </c>
      <c r="C58" s="57" t="s">
        <v>48</v>
      </c>
      <c r="D58" s="65"/>
      <c r="E58" s="64"/>
      <c r="F58" s="65"/>
      <c r="G58" s="66" t="str">
        <f t="shared" si="12"/>
        <v>Þús. tonn CO₂-íg. | kt CO₂e</v>
      </c>
      <c r="H58" s="67">
        <v>313.28463601921965</v>
      </c>
      <c r="I58" s="67">
        <v>235.07734144092197</v>
      </c>
      <c r="J58" s="67">
        <v>298.00500688978934</v>
      </c>
      <c r="K58" s="67">
        <v>312.80042293860396</v>
      </c>
      <c r="L58" s="67">
        <v>293.72285864121977</v>
      </c>
      <c r="M58" s="67">
        <v>302.6966012736118</v>
      </c>
      <c r="N58" s="67">
        <v>343.27721015073018</v>
      </c>
      <c r="O58" s="67">
        <v>407.18578407193417</v>
      </c>
      <c r="P58" s="67">
        <v>385.36646442747667</v>
      </c>
      <c r="Q58" s="67">
        <v>401.45805116071483</v>
      </c>
      <c r="R58" s="67">
        <v>363.64074917562579</v>
      </c>
      <c r="S58" s="67">
        <v>397.27894307788972</v>
      </c>
      <c r="T58" s="67">
        <v>400.32177789070448</v>
      </c>
      <c r="U58" s="67">
        <v>374.79403667012866</v>
      </c>
      <c r="V58" s="67">
        <v>382.91234682288086</v>
      </c>
      <c r="W58" s="67">
        <v>338.50974175085298</v>
      </c>
      <c r="X58" s="67">
        <v>344.68619484329878</v>
      </c>
      <c r="Y58" s="67">
        <v>334.12898759052126</v>
      </c>
      <c r="Z58" s="67">
        <v>311.85046821257384</v>
      </c>
      <c r="AA58" s="67">
        <v>198.27337048353314</v>
      </c>
      <c r="AB58" s="67">
        <v>143.2057718160402</v>
      </c>
      <c r="AC58" s="67">
        <v>142.05030348772448</v>
      </c>
      <c r="AD58" s="67">
        <v>121.92379481118581</v>
      </c>
      <c r="AE58" s="67">
        <v>116.97486425177718</v>
      </c>
      <c r="AF58" s="67">
        <v>82.580402663261509</v>
      </c>
      <c r="AG58" s="67">
        <v>110.59776351492951</v>
      </c>
      <c r="AH58" s="67">
        <v>135.77161267028936</v>
      </c>
      <c r="AI58" s="67">
        <v>106.58299255190731</v>
      </c>
      <c r="AJ58" s="67">
        <v>101.49820521430007</v>
      </c>
      <c r="AK58" s="67">
        <v>87.802905610590798</v>
      </c>
      <c r="AL58" s="67">
        <v>59.898930785035084</v>
      </c>
      <c r="AM58" s="67">
        <v>77.920215441243968</v>
      </c>
      <c r="AN58" s="67">
        <v>131.6270106117652</v>
      </c>
      <c r="AO58" s="67">
        <v>109.74460216515767</v>
      </c>
      <c r="AP58" s="67">
        <v>133.00171782354232</v>
      </c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</row>
    <row r="59" spans="1:73" s="62" customFormat="1" hidden="1" x14ac:dyDescent="0.4">
      <c r="A59" s="56" t="s">
        <v>54</v>
      </c>
      <c r="B59" s="31" t="s">
        <v>48</v>
      </c>
      <c r="C59" s="57" t="s">
        <v>48</v>
      </c>
      <c r="D59" s="65"/>
      <c r="E59" s="64"/>
      <c r="F59" s="65"/>
      <c r="G59" s="66" t="str">
        <f t="shared" si="12"/>
        <v>Þús. tonn CO₂-íg. | kt CO₂e</v>
      </c>
      <c r="H59" s="67">
        <v>74.982639545333157</v>
      </c>
      <c r="I59" s="67">
        <v>67.971922009837371</v>
      </c>
      <c r="J59" s="67">
        <v>67.562311527050014</v>
      </c>
      <c r="K59" s="67">
        <v>63.593928045924869</v>
      </c>
      <c r="L59" s="67">
        <v>65.017285435646727</v>
      </c>
      <c r="M59" s="67">
        <v>85.72499806470573</v>
      </c>
      <c r="N59" s="67">
        <v>79.169412602058273</v>
      </c>
      <c r="O59" s="67">
        <v>104.85934331304806</v>
      </c>
      <c r="P59" s="67">
        <v>112.27753205367561</v>
      </c>
      <c r="Q59" s="67">
        <v>121.13935847016023</v>
      </c>
      <c r="R59" s="67">
        <v>137.21023830356512</v>
      </c>
      <c r="S59" s="67">
        <v>133.9315534091933</v>
      </c>
      <c r="T59" s="67">
        <v>120.8926220728861</v>
      </c>
      <c r="U59" s="67">
        <v>117.1562299066273</v>
      </c>
      <c r="V59" s="67">
        <v>143.30398472419637</v>
      </c>
      <c r="W59" s="67">
        <v>153.34867556426323</v>
      </c>
      <c r="X59" s="67">
        <v>155.47347068828739</v>
      </c>
      <c r="Y59" s="67">
        <v>150.22630209844354</v>
      </c>
      <c r="Z59" s="67">
        <v>151.21195603924778</v>
      </c>
      <c r="AA59" s="67">
        <v>81.563321690278016</v>
      </c>
      <c r="AB59" s="67">
        <v>58.793972395438558</v>
      </c>
      <c r="AC59" s="67">
        <v>43.323520802218695</v>
      </c>
      <c r="AD59" s="67">
        <v>38.334505025378284</v>
      </c>
      <c r="AE59" s="67">
        <v>42.266362547331113</v>
      </c>
      <c r="AF59" s="67">
        <v>50.683709063960414</v>
      </c>
      <c r="AG59" s="67">
        <v>48.856711358850148</v>
      </c>
      <c r="AH59" s="67">
        <v>75.83761095718873</v>
      </c>
      <c r="AI59" s="67">
        <v>75.263080656977706</v>
      </c>
      <c r="AJ59" s="67">
        <v>63.629045785235562</v>
      </c>
      <c r="AK59" s="67">
        <v>59.198538088775599</v>
      </c>
      <c r="AL59" s="67">
        <v>27.853814659242364</v>
      </c>
      <c r="AM59" s="67">
        <v>34.582046854338998</v>
      </c>
      <c r="AN59" s="67">
        <v>36.300129178331858</v>
      </c>
      <c r="AO59" s="67">
        <v>52.869222558500233</v>
      </c>
      <c r="AP59" s="67">
        <v>53.814387391841272</v>
      </c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</row>
    <row r="60" spans="1:73" s="31" customFormat="1" ht="15" customHeight="1" x14ac:dyDescent="0.4">
      <c r="A60" s="38" t="s">
        <v>55</v>
      </c>
      <c r="B60" s="31" t="s">
        <v>48</v>
      </c>
      <c r="C60" s="57" t="s">
        <v>48</v>
      </c>
      <c r="D60" s="15" t="s">
        <v>10</v>
      </c>
      <c r="E60" s="14" t="s">
        <v>139</v>
      </c>
      <c r="F60" s="15"/>
      <c r="G60" s="16" t="str">
        <f t="shared" si="12"/>
        <v>Þús. tonn CO₂-íg. | kt CO₂e</v>
      </c>
      <c r="H60" s="17">
        <v>61.577589642877527</v>
      </c>
      <c r="I60" s="17">
        <v>70.15708735406244</v>
      </c>
      <c r="J60" s="17">
        <v>67.794432396869979</v>
      </c>
      <c r="K60" s="17">
        <v>85.575792469926853</v>
      </c>
      <c r="L60" s="17">
        <v>70.322048261690142</v>
      </c>
      <c r="M60" s="17">
        <v>82.461329775140783</v>
      </c>
      <c r="N60" s="17">
        <v>81.536379452684784</v>
      </c>
      <c r="O60" s="17">
        <v>67.142909239667517</v>
      </c>
      <c r="P60" s="17">
        <v>84.229774259520653</v>
      </c>
      <c r="Q60" s="17">
        <v>112.16488902349249</v>
      </c>
      <c r="R60" s="17">
        <v>154.18136400492713</v>
      </c>
      <c r="S60" s="17">
        <v>144.90544962773333</v>
      </c>
      <c r="T60" s="17">
        <v>148.53438607446219</v>
      </c>
      <c r="U60" s="17">
        <v>137.44419231256254</v>
      </c>
      <c r="V60" s="17">
        <v>124.06182392622254</v>
      </c>
      <c r="W60" s="17">
        <v>119.45647094208158</v>
      </c>
      <c r="X60" s="17">
        <v>129.48940884767728</v>
      </c>
      <c r="Y60" s="17">
        <v>150.17772395880564</v>
      </c>
      <c r="Z60" s="17">
        <v>188.79046841169912</v>
      </c>
      <c r="AA60" s="17">
        <v>172.68275584137766</v>
      </c>
      <c r="AB60" s="17">
        <v>194.76400000000001</v>
      </c>
      <c r="AC60" s="17">
        <v>183.41899999999998</v>
      </c>
      <c r="AD60" s="17">
        <v>175.10867999999999</v>
      </c>
      <c r="AE60" s="17">
        <v>176.96899999999999</v>
      </c>
      <c r="AF60" s="17">
        <v>206.04203132749296</v>
      </c>
      <c r="AG60" s="17">
        <v>172.30600096927682</v>
      </c>
      <c r="AH60" s="17">
        <v>163.0362457615802</v>
      </c>
      <c r="AI60" s="17">
        <v>151.95444102803788</v>
      </c>
      <c r="AJ60" s="17">
        <v>164.70900135548004</v>
      </c>
      <c r="AK60" s="17">
        <v>175.41761233554124</v>
      </c>
      <c r="AL60" s="17">
        <v>177.28072612428809</v>
      </c>
      <c r="AM60" s="17">
        <v>166.27076688024965</v>
      </c>
      <c r="AN60" s="17">
        <v>177.93383904423609</v>
      </c>
      <c r="AO60" s="17">
        <v>176.7547389664966</v>
      </c>
      <c r="AP60" s="17">
        <v>223.69103641446083</v>
      </c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</row>
    <row r="61" spans="1:73" s="31" customFormat="1" ht="15" customHeight="1" x14ac:dyDescent="0.4">
      <c r="A61" s="38" t="s">
        <v>99</v>
      </c>
      <c r="B61" s="31" t="s">
        <v>48</v>
      </c>
      <c r="C61" s="57" t="s">
        <v>48</v>
      </c>
      <c r="D61" s="42" t="s">
        <v>24</v>
      </c>
      <c r="E61" s="14" t="s">
        <v>189</v>
      </c>
      <c r="F61" s="15"/>
      <c r="G61" s="16" t="str">
        <f t="shared" si="12"/>
        <v>Þús. tonn CO₂-íg. | kt CO₂e</v>
      </c>
      <c r="H61" s="17">
        <f>H62-SUM(H49:H50,H51:H53,H57,H60)</f>
        <v>50.342219039356678</v>
      </c>
      <c r="I61" s="17">
        <f t="shared" ref="I61:AO61" si="15">I62-SUM(I49:I50,I51:I53,I57,I60)</f>
        <v>48.498820297847487</v>
      </c>
      <c r="J61" s="17">
        <f t="shared" si="15"/>
        <v>48.148428783987583</v>
      </c>
      <c r="K61" s="17">
        <f t="shared" si="15"/>
        <v>47.47600304378966</v>
      </c>
      <c r="L61" s="17">
        <f t="shared" si="15"/>
        <v>45.391953774035755</v>
      </c>
      <c r="M61" s="17">
        <f t="shared" si="15"/>
        <v>47.352983917574193</v>
      </c>
      <c r="N61" s="17">
        <f t="shared" si="15"/>
        <v>49.893783805454405</v>
      </c>
      <c r="O61" s="17">
        <f t="shared" si="15"/>
        <v>35.097324620486233</v>
      </c>
      <c r="P61" s="17">
        <f t="shared" si="15"/>
        <v>49.469332979992942</v>
      </c>
      <c r="Q61" s="17">
        <f t="shared" si="15"/>
        <v>47.55848677563381</v>
      </c>
      <c r="R61" s="17">
        <f t="shared" si="15"/>
        <v>39.986926552537625</v>
      </c>
      <c r="S61" s="17">
        <f t="shared" si="15"/>
        <v>50.754075297037389</v>
      </c>
      <c r="T61" s="17">
        <f t="shared" si="15"/>
        <v>52.640976153457359</v>
      </c>
      <c r="U61" s="17">
        <f t="shared" si="15"/>
        <v>29.18125306731099</v>
      </c>
      <c r="V61" s="17">
        <f t="shared" si="15"/>
        <v>49.028661179637311</v>
      </c>
      <c r="W61" s="17">
        <f t="shared" si="15"/>
        <v>50.945701721318983</v>
      </c>
      <c r="X61" s="17">
        <f t="shared" si="15"/>
        <v>49.28432753711968</v>
      </c>
      <c r="Y61" s="17">
        <f t="shared" si="15"/>
        <v>45.717055155431353</v>
      </c>
      <c r="Z61" s="17">
        <f t="shared" si="15"/>
        <v>26.872074685200005</v>
      </c>
      <c r="AA61" s="17">
        <f t="shared" si="15"/>
        <v>23.67740183132355</v>
      </c>
      <c r="AB61" s="17">
        <f t="shared" si="15"/>
        <v>33.292935423734889</v>
      </c>
      <c r="AC61" s="17">
        <f t="shared" si="15"/>
        <v>23.804403980257121</v>
      </c>
      <c r="AD61" s="17">
        <f t="shared" si="15"/>
        <v>17.531430949111609</v>
      </c>
      <c r="AE61" s="17">
        <f t="shared" si="15"/>
        <v>14.593199489544077</v>
      </c>
      <c r="AF61" s="17">
        <f t="shared" si="15"/>
        <v>21.641270328978635</v>
      </c>
      <c r="AG61" s="17">
        <f t="shared" si="15"/>
        <v>13.098548904574272</v>
      </c>
      <c r="AH61" s="17">
        <f t="shared" si="15"/>
        <v>10.755648068047321</v>
      </c>
      <c r="AI61" s="17">
        <f t="shared" si="15"/>
        <v>14.844333681910484</v>
      </c>
      <c r="AJ61" s="17">
        <f t="shared" si="15"/>
        <v>11.84844488890235</v>
      </c>
      <c r="AK61" s="17">
        <f t="shared" si="15"/>
        <v>15.639867102221842</v>
      </c>
      <c r="AL61" s="17">
        <f t="shared" si="15"/>
        <v>11.842597060930757</v>
      </c>
      <c r="AM61" s="17">
        <f t="shared" si="15"/>
        <v>13.30820968355124</v>
      </c>
      <c r="AN61" s="17">
        <f t="shared" si="15"/>
        <v>18.798029325587777</v>
      </c>
      <c r="AO61" s="17">
        <f t="shared" si="15"/>
        <v>20.05881029641705</v>
      </c>
      <c r="AP61" s="17">
        <f>AP62-SUM(AP49:AP50,AP51:AP53,AP57,AP60)</f>
        <v>27.717092995372923</v>
      </c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</row>
    <row r="62" spans="1:73" s="35" customFormat="1" ht="15" customHeight="1" x14ac:dyDescent="0.4">
      <c r="A62" s="38" t="s">
        <v>42</v>
      </c>
      <c r="B62" s="31" t="s">
        <v>48</v>
      </c>
      <c r="C62" s="57" t="s">
        <v>48</v>
      </c>
      <c r="D62" s="46" t="s">
        <v>135</v>
      </c>
      <c r="E62" s="21"/>
      <c r="F62" s="22"/>
      <c r="G62" s="23" t="str">
        <f t="shared" si="12"/>
        <v>Þús. tonn CO₂-íg. | kt CO₂e</v>
      </c>
      <c r="H62" s="24">
        <v>1840.5584239819852</v>
      </c>
      <c r="I62" s="24">
        <v>1755.4179512828262</v>
      </c>
      <c r="J62" s="24">
        <v>1899.1739311105507</v>
      </c>
      <c r="K62" s="24">
        <v>2003.8997718373689</v>
      </c>
      <c r="L62" s="24">
        <v>1952.7940283545367</v>
      </c>
      <c r="M62" s="24">
        <v>2057.5890174079286</v>
      </c>
      <c r="N62" s="24">
        <v>2113.0524577349433</v>
      </c>
      <c r="O62" s="24">
        <v>2152.9190000436697</v>
      </c>
      <c r="P62" s="24">
        <v>2146.54538578551</v>
      </c>
      <c r="Q62" s="24">
        <v>2203.0183508790501</v>
      </c>
      <c r="R62" s="24">
        <v>2185.2971896595163</v>
      </c>
      <c r="S62" s="24">
        <v>2073.9027921877141</v>
      </c>
      <c r="T62" s="24">
        <v>2183.8215104774213</v>
      </c>
      <c r="U62" s="24">
        <v>2172.7731564664687</v>
      </c>
      <c r="V62" s="24">
        <v>2271.6116788326794</v>
      </c>
      <c r="W62" s="24">
        <v>2158.527046856836</v>
      </c>
      <c r="X62" s="24">
        <v>2221.8227381350603</v>
      </c>
      <c r="Y62" s="24">
        <v>2363.1293698360123</v>
      </c>
      <c r="Z62" s="24">
        <v>2234.9780023950389</v>
      </c>
      <c r="AA62" s="24">
        <v>2137.0823287033058</v>
      </c>
      <c r="AB62" s="24">
        <v>2026.8113312376122</v>
      </c>
      <c r="AC62" s="24">
        <v>1905.1317556197382</v>
      </c>
      <c r="AD62" s="24">
        <v>1855.8766363751167</v>
      </c>
      <c r="AE62" s="24">
        <v>1820.5107270076819</v>
      </c>
      <c r="AF62" s="24">
        <v>1827.5701000936444</v>
      </c>
      <c r="AG62" s="24">
        <v>1858.502194326315</v>
      </c>
      <c r="AH62" s="24">
        <v>1839.835099445806</v>
      </c>
      <c r="AI62" s="24">
        <v>1872.7101888325615</v>
      </c>
      <c r="AJ62" s="24">
        <v>1916.4214699481461</v>
      </c>
      <c r="AK62" s="24">
        <v>1862.5085975452396</v>
      </c>
      <c r="AL62" s="24">
        <v>1662.3980337597477</v>
      </c>
      <c r="AM62" s="24">
        <v>1750.2428458829866</v>
      </c>
      <c r="AN62" s="24">
        <v>1806.8314698507281</v>
      </c>
      <c r="AO62" s="24">
        <v>1774.5518574835669</v>
      </c>
      <c r="AP62" s="24">
        <v>1858.8672934650326</v>
      </c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</row>
    <row r="63" spans="1:73" s="381" customFormat="1" ht="15" customHeight="1" x14ac:dyDescent="0.4">
      <c r="A63" s="385" t="s">
        <v>352</v>
      </c>
      <c r="B63" s="191"/>
      <c r="C63" s="380"/>
      <c r="D63" s="191" t="s">
        <v>351</v>
      </c>
      <c r="E63" s="340"/>
      <c r="F63" s="191"/>
      <c r="G63" s="382"/>
      <c r="H63" s="383">
        <f t="shared" ref="H63:AO63" si="16">H62-H49-H50-H60</f>
        <v>487.84247404583988</v>
      </c>
      <c r="I63" s="383">
        <f t="shared" si="16"/>
        <v>397.54108448729539</v>
      </c>
      <c r="J63" s="383">
        <f t="shared" si="16"/>
        <v>450.03083199137416</v>
      </c>
      <c r="K63" s="383">
        <f t="shared" si="16"/>
        <v>482.53036931780383</v>
      </c>
      <c r="L63" s="383">
        <f t="shared" si="16"/>
        <v>455.47319300252616</v>
      </c>
      <c r="M63" s="383">
        <f t="shared" si="16"/>
        <v>495.37999222203285</v>
      </c>
      <c r="N63" s="383">
        <f t="shared" si="16"/>
        <v>550.89964723441426</v>
      </c>
      <c r="O63" s="383">
        <f t="shared" si="16"/>
        <v>587.29588027603518</v>
      </c>
      <c r="P63" s="383">
        <f t="shared" si="16"/>
        <v>569.9619115112414</v>
      </c>
      <c r="Q63" s="383">
        <f t="shared" si="16"/>
        <v>589.92683999183339</v>
      </c>
      <c r="R63" s="383">
        <f t="shared" si="16"/>
        <v>523.75542384347955</v>
      </c>
      <c r="S63" s="383">
        <f t="shared" si="16"/>
        <v>571.27629644169178</v>
      </c>
      <c r="T63" s="383">
        <f t="shared" si="16"/>
        <v>570.71568384941202</v>
      </c>
      <c r="U63" s="383">
        <f t="shared" si="16"/>
        <v>524.82314480932143</v>
      </c>
      <c r="V63" s="383">
        <f t="shared" si="16"/>
        <v>578.79682358846981</v>
      </c>
      <c r="W63" s="383">
        <f t="shared" si="16"/>
        <v>521.8076021982431</v>
      </c>
      <c r="X63" s="383">
        <f t="shared" si="16"/>
        <v>532.71064669796044</v>
      </c>
      <c r="Y63" s="383">
        <f t="shared" si="16"/>
        <v>529.08460475015636</v>
      </c>
      <c r="Z63" s="383">
        <f t="shared" si="16"/>
        <v>478.27684277400903</v>
      </c>
      <c r="AA63" s="383">
        <f t="shared" si="16"/>
        <v>339.66562888503029</v>
      </c>
      <c r="AB63" s="383">
        <f t="shared" si="16"/>
        <v>290.97294786993359</v>
      </c>
      <c r="AC63" s="383">
        <f t="shared" si="16"/>
        <v>268.39175021510448</v>
      </c>
      <c r="AD63" s="383">
        <f t="shared" si="16"/>
        <v>238.78310895781118</v>
      </c>
      <c r="AE63" s="383">
        <f t="shared" si="16"/>
        <v>223.73119854552414</v>
      </c>
      <c r="AF63" s="383">
        <f t="shared" si="16"/>
        <v>211.06205032997616</v>
      </c>
      <c r="AG63" s="383">
        <f t="shared" si="16"/>
        <v>238.20490920939281</v>
      </c>
      <c r="AH63" s="383">
        <f t="shared" si="16"/>
        <v>256.20259389796888</v>
      </c>
      <c r="AI63" s="383">
        <f t="shared" si="16"/>
        <v>238.9914615555449</v>
      </c>
      <c r="AJ63" s="383">
        <f t="shared" si="16"/>
        <v>227.93849551468577</v>
      </c>
      <c r="AK63" s="383">
        <f t="shared" si="16"/>
        <v>212.31756996310648</v>
      </c>
      <c r="AL63" s="383">
        <f t="shared" si="16"/>
        <v>145.33950435111626</v>
      </c>
      <c r="AM63" s="383">
        <f t="shared" si="16"/>
        <v>155.36577057737315</v>
      </c>
      <c r="AN63" s="383">
        <f t="shared" si="16"/>
        <v>222.39121979177997</v>
      </c>
      <c r="AO63" s="383">
        <f t="shared" si="16"/>
        <v>191.18077811873465</v>
      </c>
      <c r="AP63" s="383">
        <f>AP62-AP49-AP50-AP60</f>
        <v>217.34480085199726</v>
      </c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  <c r="BQ63" s="384"/>
      <c r="BR63" s="384"/>
      <c r="BS63" s="384"/>
      <c r="BT63" s="384"/>
      <c r="BU63" s="384"/>
    </row>
    <row r="64" spans="1:73" s="29" customFormat="1" ht="36" customHeight="1" x14ac:dyDescent="0.4">
      <c r="A64" s="26"/>
      <c r="B64" s="358" t="s">
        <v>48</v>
      </c>
      <c r="C64" s="27"/>
      <c r="D64" s="1019" t="s">
        <v>445</v>
      </c>
      <c r="E64" s="1019" t="s">
        <v>446</v>
      </c>
      <c r="F64" s="185"/>
      <c r="G64" s="185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25"/>
      <c r="AO64" s="30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</row>
    <row r="65" spans="1:73" s="31" customFormat="1" ht="15" customHeight="1" x14ac:dyDescent="0.4">
      <c r="A65" s="38" t="s">
        <v>50</v>
      </c>
      <c r="B65" s="9" t="str">
        <f t="shared" ref="B65:B78" si="17">A49&amp;" WEM"</f>
        <v>1.A.4.c.iii Agriculture/Forestry/Fishing - Fishing kt CO2-eq WEM</v>
      </c>
      <c r="C65" s="48" t="s">
        <v>48</v>
      </c>
      <c r="D65" s="15" t="s">
        <v>5</v>
      </c>
      <c r="E65" s="14" t="s">
        <v>136</v>
      </c>
      <c r="F65" s="55"/>
      <c r="G65" s="16" t="str">
        <f>$G$5</f>
        <v>Þús. tonn CO₂-íg. | kt CO₂e</v>
      </c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66"/>
      <c r="AP65" s="366">
        <f t="shared" ref="AP65:AP79" si="18">AP49</f>
        <v>519.47716734952905</v>
      </c>
      <c r="AQ65" s="78">
        <v>463.34906694185872</v>
      </c>
      <c r="AR65" s="78">
        <v>444.36767918026391</v>
      </c>
      <c r="AS65" s="78">
        <v>431.28981683150755</v>
      </c>
      <c r="AT65" s="78">
        <v>423.73641142171283</v>
      </c>
      <c r="AU65" s="78">
        <v>427.86577209206132</v>
      </c>
      <c r="AV65" s="78">
        <v>423.58726972707274</v>
      </c>
      <c r="AW65" s="78">
        <v>416.20412468363065</v>
      </c>
      <c r="AX65" s="78">
        <v>413.27302703445309</v>
      </c>
      <c r="AY65" s="78">
        <v>407.21519131072057</v>
      </c>
      <c r="AZ65" s="78">
        <v>397.86926384390495</v>
      </c>
      <c r="BA65" s="78">
        <v>385.49035532833642</v>
      </c>
      <c r="BB65" s="78">
        <v>370.03238984004793</v>
      </c>
      <c r="BC65" s="78">
        <v>351.13246187983253</v>
      </c>
      <c r="BD65" s="78">
        <v>328.35620140394246</v>
      </c>
      <c r="BE65" s="78">
        <v>301.83473138830249</v>
      </c>
      <c r="BF65" s="78">
        <v>272.13728274907282</v>
      </c>
      <c r="BG65" s="78">
        <v>240.60470456148562</v>
      </c>
      <c r="BH65" s="78">
        <v>219.2030651354367</v>
      </c>
      <c r="BI65" s="78">
        <v>200.82817444507441</v>
      </c>
      <c r="BJ65" s="78">
        <v>192.36552901136858</v>
      </c>
      <c r="BK65" s="78">
        <v>180.80180455838149</v>
      </c>
      <c r="BL65" s="78">
        <v>168.76373025617349</v>
      </c>
      <c r="BM65" s="78">
        <v>156.10655908863993</v>
      </c>
      <c r="BN65" s="78">
        <v>142.65967104416202</v>
      </c>
      <c r="BO65" s="78">
        <v>128.93993113114908</v>
      </c>
      <c r="BP65" s="78">
        <v>115.03316562679571</v>
      </c>
      <c r="BQ65" s="78">
        <v>101.32620395080562</v>
      </c>
      <c r="BR65" s="78">
        <v>87.921701179475249</v>
      </c>
      <c r="BS65" s="78">
        <v>75.135982296504508</v>
      </c>
      <c r="BT65" s="78">
        <v>63.071018254403626</v>
      </c>
      <c r="BU65" s="78">
        <v>51.931812227441057</v>
      </c>
    </row>
    <row r="66" spans="1:73" s="31" customFormat="1" ht="15" customHeight="1" x14ac:dyDescent="0.4">
      <c r="A66" s="38" t="s">
        <v>51</v>
      </c>
      <c r="B66" s="9" t="str">
        <f t="shared" si="17"/>
        <v>1.A.3.b Road transportationkt CO2-eq WEM</v>
      </c>
      <c r="C66" s="48" t="s">
        <v>48</v>
      </c>
      <c r="D66" s="15" t="s">
        <v>6</v>
      </c>
      <c r="E66" s="14" t="s">
        <v>157</v>
      </c>
      <c r="F66" s="55"/>
      <c r="G66" s="16" t="str">
        <f t="shared" ref="G66:G78" si="19">$G$5</f>
        <v>Þús. tonn CO₂-íg. | kt CO₂e</v>
      </c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66"/>
      <c r="AP66" s="366">
        <f t="shared" si="18"/>
        <v>898.35428884904547</v>
      </c>
      <c r="AQ66" s="78">
        <v>890.46327354796597</v>
      </c>
      <c r="AR66" s="78">
        <v>884.44372522758908</v>
      </c>
      <c r="AS66" s="78">
        <v>873.44981959967708</v>
      </c>
      <c r="AT66" s="78">
        <v>858.10750838512058</v>
      </c>
      <c r="AU66" s="78">
        <v>837.78204247471706</v>
      </c>
      <c r="AV66" s="78">
        <v>812.33946562374695</v>
      </c>
      <c r="AW66" s="78">
        <v>784.70167006315717</v>
      </c>
      <c r="AX66" s="78">
        <v>753.27959906463832</v>
      </c>
      <c r="AY66" s="78">
        <v>718.28527026754273</v>
      </c>
      <c r="AZ66" s="78">
        <v>680.06421443772138</v>
      </c>
      <c r="BA66" s="78">
        <v>623.00154202384101</v>
      </c>
      <c r="BB66" s="78">
        <v>566.44282089182093</v>
      </c>
      <c r="BC66" s="78">
        <v>510.84284663883045</v>
      </c>
      <c r="BD66" s="78">
        <v>462.14978131238462</v>
      </c>
      <c r="BE66" s="78">
        <v>415.56625417879866</v>
      </c>
      <c r="BF66" s="78">
        <v>369.88900567515753</v>
      </c>
      <c r="BG66" s="78">
        <v>327.40652035720001</v>
      </c>
      <c r="BH66" s="78">
        <v>285.8400022961809</v>
      </c>
      <c r="BI66" s="78">
        <v>245.41239536528221</v>
      </c>
      <c r="BJ66" s="78">
        <v>206.33177726918419</v>
      </c>
      <c r="BK66" s="78">
        <v>168.98130647673543</v>
      </c>
      <c r="BL66" s="78">
        <v>136.96749777773857</v>
      </c>
      <c r="BM66" s="78">
        <v>107.57023277276032</v>
      </c>
      <c r="BN66" s="78">
        <v>82.841363081975274</v>
      </c>
      <c r="BO66" s="78">
        <v>61.333286269903063</v>
      </c>
      <c r="BP66" s="78">
        <v>46.877218310270635</v>
      </c>
      <c r="BQ66" s="188">
        <v>36.03612984911117</v>
      </c>
      <c r="BR66" s="188">
        <v>27.140340896891217</v>
      </c>
      <c r="BS66" s="188">
        <v>19.489578881622432</v>
      </c>
      <c r="BT66" s="188">
        <v>13.779301255699499</v>
      </c>
      <c r="BU66" s="188">
        <v>9.8731999670806854</v>
      </c>
    </row>
    <row r="67" spans="1:73" s="31" customFormat="1" ht="15" customHeight="1" x14ac:dyDescent="0.4">
      <c r="A67" s="38" t="s">
        <v>52</v>
      </c>
      <c r="B67" s="9" t="str">
        <f t="shared" si="17"/>
        <v>1.A.3.a Domestic aviationkt CO2-eq WEM</v>
      </c>
      <c r="C67" s="48" t="s">
        <v>48</v>
      </c>
      <c r="D67" s="15" t="s">
        <v>7</v>
      </c>
      <c r="E67" s="15" t="s">
        <v>180</v>
      </c>
      <c r="F67" s="55"/>
      <c r="G67" s="16" t="str">
        <f t="shared" si="19"/>
        <v>Þús. tonn CO₂-íg. | kt CO₂e</v>
      </c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66"/>
      <c r="AP67" s="366">
        <f t="shared" si="18"/>
        <v>20.498994139466671</v>
      </c>
      <c r="AQ67" s="78">
        <v>24.977534526357783</v>
      </c>
      <c r="AR67" s="78">
        <v>25.185070628369999</v>
      </c>
      <c r="AS67" s="78">
        <v>25.009656005821849</v>
      </c>
      <c r="AT67" s="78">
        <v>24.774896066458425</v>
      </c>
      <c r="AU67" s="78">
        <v>24.472265113541983</v>
      </c>
      <c r="AV67" s="78">
        <v>24.08773646388379</v>
      </c>
      <c r="AW67" s="78">
        <v>24.061584305268223</v>
      </c>
      <c r="AX67" s="78">
        <v>23.911670219476107</v>
      </c>
      <c r="AY67" s="78">
        <v>23.594583890585724</v>
      </c>
      <c r="AZ67" s="78">
        <v>23.062395456965024</v>
      </c>
      <c r="BA67" s="78">
        <v>22.255123520773704</v>
      </c>
      <c r="BB67" s="78">
        <v>21.113627015447538</v>
      </c>
      <c r="BC67" s="78">
        <v>19.591992980877407</v>
      </c>
      <c r="BD67" s="78">
        <v>17.687435011713298</v>
      </c>
      <c r="BE67" s="78">
        <v>15.461381951459895</v>
      </c>
      <c r="BF67" s="78">
        <v>13.037471240102306</v>
      </c>
      <c r="BG67" s="78">
        <v>10.600899833003249</v>
      </c>
      <c r="BH67" s="78">
        <v>8.3180387987114059</v>
      </c>
      <c r="BI67" s="188">
        <v>6.3191776629982277</v>
      </c>
      <c r="BJ67" s="188">
        <v>4.6712585669839353</v>
      </c>
      <c r="BK67" s="188">
        <v>3.3777746145365164</v>
      </c>
      <c r="BL67" s="188">
        <v>2.4014086699117398</v>
      </c>
      <c r="BM67" s="188">
        <v>1.6855128090302096</v>
      </c>
      <c r="BN67" s="188">
        <v>1.1712610827194272</v>
      </c>
      <c r="BO67" s="188">
        <v>0.80847812069667313</v>
      </c>
      <c r="BP67" s="188">
        <v>0.5553357984187669</v>
      </c>
      <c r="BQ67" s="188">
        <v>0.38037754768912607</v>
      </c>
      <c r="BR67" s="188">
        <v>0.2598514531931897</v>
      </c>
      <c r="BS67" s="188">
        <v>0.17718835716087381</v>
      </c>
      <c r="BT67" s="188">
        <v>0.12066040636863068</v>
      </c>
      <c r="BU67" s="188">
        <v>8.2052026753346802E-2</v>
      </c>
    </row>
    <row r="68" spans="1:73" s="31" customFormat="1" ht="15" customHeight="1" x14ac:dyDescent="0.4">
      <c r="A68" s="38" t="s">
        <v>53</v>
      </c>
      <c r="B68" s="9" t="str">
        <f t="shared" si="17"/>
        <v>1.A.3.dDomestic navigationkt CO2-eq WEM</v>
      </c>
      <c r="C68" s="48" t="s">
        <v>48</v>
      </c>
      <c r="D68" s="15" t="s">
        <v>8</v>
      </c>
      <c r="E68" s="15" t="s">
        <v>181</v>
      </c>
      <c r="F68" s="55"/>
      <c r="G68" s="16" t="str">
        <f t="shared" si="19"/>
        <v>Þús. tonn CO₂-íg. | kt CO₂e</v>
      </c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66"/>
      <c r="AP68" s="366">
        <f t="shared" si="18"/>
        <v>13.457077051192861</v>
      </c>
      <c r="AQ68" s="78">
        <v>14.671814210222678</v>
      </c>
      <c r="AR68" s="78">
        <v>14.671814210222678</v>
      </c>
      <c r="AS68" s="78">
        <v>14.668707091584341</v>
      </c>
      <c r="AT68" s="78">
        <v>14.665599972946003</v>
      </c>
      <c r="AU68" s="78">
        <v>14.659385735669332</v>
      </c>
      <c r="AV68" s="78">
        <v>14.010237911924232</v>
      </c>
      <c r="AW68" s="78">
        <v>11.908526622869321</v>
      </c>
      <c r="AX68" s="78">
        <v>7.3884957555199007</v>
      </c>
      <c r="AY68" s="78">
        <v>7.2922831730082587</v>
      </c>
      <c r="AZ68" s="78">
        <v>7.2175978633331779</v>
      </c>
      <c r="BA68" s="78">
        <v>2.7370289591978527</v>
      </c>
      <c r="BB68" s="78">
        <v>2.6561240987131787</v>
      </c>
      <c r="BC68" s="78">
        <v>2.5721223878398511</v>
      </c>
      <c r="BD68" s="78">
        <v>2.4819035080854817</v>
      </c>
      <c r="BE68" s="78">
        <v>2.388587045041366</v>
      </c>
      <c r="BF68" s="78">
        <v>2.264183813831286</v>
      </c>
      <c r="BG68" s="78">
        <v>2.1646192168349652</v>
      </c>
      <c r="BH68" s="78">
        <v>2.0588366722501914</v>
      </c>
      <c r="BI68" s="188">
        <v>1.9530620826960265</v>
      </c>
      <c r="BJ68" s="188">
        <v>1.844164792720921</v>
      </c>
      <c r="BK68" s="188">
        <v>1.7321566737956986</v>
      </c>
      <c r="BL68" s="188">
        <v>1.6201558915157885</v>
      </c>
      <c r="BM68" s="188">
        <v>1.5019259085618988</v>
      </c>
      <c r="BN68" s="188">
        <v>1.386809968634793</v>
      </c>
      <c r="BO68" s="188">
        <v>1.2685723589289086</v>
      </c>
      <c r="BP68" s="188">
        <v>1.1503310389112422</v>
      </c>
      <c r="BQ68" s="188">
        <v>1.0321760439541454</v>
      </c>
      <c r="BR68" s="188">
        <v>0.91399829547187716</v>
      </c>
      <c r="BS68" s="188">
        <v>0.79582802792482421</v>
      </c>
      <c r="BT68" s="188">
        <v>0.6776455178757701</v>
      </c>
      <c r="BU68" s="188">
        <v>0.55946069918827412</v>
      </c>
    </row>
    <row r="69" spans="1:73" s="31" customFormat="1" ht="15" customHeight="1" x14ac:dyDescent="0.4">
      <c r="A69" s="38" t="s">
        <v>93</v>
      </c>
      <c r="B69" s="9" t="str">
        <f t="shared" si="17"/>
        <v>Mobile Machinery WEM</v>
      </c>
      <c r="C69" s="48" t="s">
        <v>48</v>
      </c>
      <c r="D69" s="15" t="s">
        <v>9</v>
      </c>
      <c r="E69" s="15" t="s">
        <v>140</v>
      </c>
      <c r="F69" s="55"/>
      <c r="G69" s="16" t="str">
        <f t="shared" si="19"/>
        <v>Þús. tonn CO₂-íg. | kt CO₂e</v>
      </c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66"/>
      <c r="AP69" s="366">
        <f t="shared" si="18"/>
        <v>76.484306234264068</v>
      </c>
      <c r="AQ69" s="17">
        <f t="shared" ref="AQ69:BU69" si="20">SUM(AQ70:AQ72)</f>
        <v>76.892072808188189</v>
      </c>
      <c r="AR69" s="17">
        <f t="shared" si="20"/>
        <v>77.451206484566967</v>
      </c>
      <c r="AS69" s="17">
        <f t="shared" si="20"/>
        <v>77.906328279143906</v>
      </c>
      <c r="AT69" s="17">
        <f t="shared" si="20"/>
        <v>78.585155673100331</v>
      </c>
      <c r="AU69" s="17">
        <f t="shared" si="20"/>
        <v>79.456186883750348</v>
      </c>
      <c r="AV69" s="17">
        <f t="shared" si="20"/>
        <v>80.315334581238631</v>
      </c>
      <c r="AW69" s="17">
        <f t="shared" si="20"/>
        <v>81.867603207466871</v>
      </c>
      <c r="AX69" s="17">
        <f t="shared" si="20"/>
        <v>83.332570799213102</v>
      </c>
      <c r="AY69" s="17">
        <f t="shared" si="20"/>
        <v>84.6243414939226</v>
      </c>
      <c r="AZ69" s="17">
        <f t="shared" si="20"/>
        <v>85.730420075013541</v>
      </c>
      <c r="BA69" s="17">
        <f t="shared" si="20"/>
        <v>86.672255727426162</v>
      </c>
      <c r="BB69" s="17">
        <f t="shared" si="20"/>
        <v>87.537944588451566</v>
      </c>
      <c r="BC69" s="17">
        <f t="shared" si="20"/>
        <v>88.219208836582652</v>
      </c>
      <c r="BD69" s="17">
        <f t="shared" si="20"/>
        <v>88.678298760300166</v>
      </c>
      <c r="BE69" s="17">
        <f t="shared" si="20"/>
        <v>88.870479119162042</v>
      </c>
      <c r="BF69" s="17">
        <f t="shared" si="20"/>
        <v>88.746618962534086</v>
      </c>
      <c r="BG69" s="17">
        <f t="shared" si="20"/>
        <v>88.249138978675859</v>
      </c>
      <c r="BH69" s="17">
        <f t="shared" si="20"/>
        <v>87.337647318872271</v>
      </c>
      <c r="BI69" s="17">
        <f t="shared" si="20"/>
        <v>85.959716777590387</v>
      </c>
      <c r="BJ69" s="17">
        <f t="shared" si="20"/>
        <v>84.07547568952495</v>
      </c>
      <c r="BK69" s="17">
        <f t="shared" si="20"/>
        <v>81.662574747083454</v>
      </c>
      <c r="BL69" s="17">
        <f t="shared" si="20"/>
        <v>78.714179252767067</v>
      </c>
      <c r="BM69" s="17">
        <f t="shared" si="20"/>
        <v>75.246103744568927</v>
      </c>
      <c r="BN69" s="17">
        <f t="shared" si="20"/>
        <v>71.295511525011634</v>
      </c>
      <c r="BO69" s="17">
        <f t="shared" si="20"/>
        <v>66.948134172099941</v>
      </c>
      <c r="BP69" s="17">
        <f t="shared" si="20"/>
        <v>62.304940043582604</v>
      </c>
      <c r="BQ69" s="17">
        <f t="shared" si="20"/>
        <v>58.626632085535945</v>
      </c>
      <c r="BR69" s="17">
        <f t="shared" si="20"/>
        <v>53.701033362856137</v>
      </c>
      <c r="BS69" s="17">
        <f t="shared" si="20"/>
        <v>48.83279916936506</v>
      </c>
      <c r="BT69" s="17">
        <f t="shared" si="20"/>
        <v>44.137424862988844</v>
      </c>
      <c r="BU69" s="17">
        <f t="shared" si="20"/>
        <v>39.702956847573645</v>
      </c>
    </row>
    <row r="70" spans="1:73" s="62" customFormat="1" ht="15" customHeight="1" x14ac:dyDescent="0.4">
      <c r="A70" s="56" t="s">
        <v>54</v>
      </c>
      <c r="B70" s="9" t="str">
        <f t="shared" si="17"/>
        <v>1.A.2.g.vii Off road vehicles and other machinerykt CO2-eq WEM</v>
      </c>
      <c r="C70" s="48" t="s">
        <v>48</v>
      </c>
      <c r="D70" s="58" t="s">
        <v>116</v>
      </c>
      <c r="E70" s="58" t="s">
        <v>225</v>
      </c>
      <c r="F70" s="59"/>
      <c r="G70" s="60" t="str">
        <f t="shared" si="19"/>
        <v>Þús. tonn CO₂-íg. | kt CO₂e</v>
      </c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367"/>
      <c r="AP70" s="367">
        <f t="shared" si="18"/>
        <v>53.814387391841272</v>
      </c>
      <c r="AQ70" s="189">
        <v>55.591047899061891</v>
      </c>
      <c r="AR70" s="189">
        <v>56.433714200003266</v>
      </c>
      <c r="AS70" s="189">
        <v>57.215506076665349</v>
      </c>
      <c r="AT70" s="189">
        <v>58.266705361991235</v>
      </c>
      <c r="AU70" s="189">
        <v>59.555318164028868</v>
      </c>
      <c r="AV70" s="189">
        <v>60.87813856347227</v>
      </c>
      <c r="AW70" s="189">
        <v>62.123697289700431</v>
      </c>
      <c r="AX70" s="189">
        <v>63.304553287203873</v>
      </c>
      <c r="AY70" s="189">
        <v>64.340417509897051</v>
      </c>
      <c r="AZ70" s="189">
        <v>65.220073468074489</v>
      </c>
      <c r="BA70" s="189">
        <v>65.970553783018417</v>
      </c>
      <c r="BB70" s="189">
        <v>66.686204857695756</v>
      </c>
      <c r="BC70" s="189">
        <v>67.269717662745308</v>
      </c>
      <c r="BD70" s="189">
        <v>67.692816549040572</v>
      </c>
      <c r="BE70" s="189">
        <v>67.918449004905497</v>
      </c>
      <c r="BF70" s="189">
        <v>67.913662981249246</v>
      </c>
      <c r="BG70" s="189">
        <v>67.635205099122658</v>
      </c>
      <c r="BH70" s="189">
        <v>67.041940675264584</v>
      </c>
      <c r="BI70" s="189">
        <v>66.094967196334522</v>
      </c>
      <c r="BJ70" s="189">
        <v>64.759007243304168</v>
      </c>
      <c r="BK70" s="189">
        <v>63.015850188025865</v>
      </c>
      <c r="BL70" s="189">
        <v>60.855156294717418</v>
      </c>
      <c r="BM70" s="189">
        <v>58.287863293391425</v>
      </c>
      <c r="BN70" s="189">
        <v>55.346593623808381</v>
      </c>
      <c r="BO70" s="189">
        <v>52.084488882132277</v>
      </c>
      <c r="BP70" s="189">
        <v>48.579560432163497</v>
      </c>
      <c r="BQ70" s="189">
        <v>44.919183126054541</v>
      </c>
      <c r="BR70" s="189">
        <v>41.199713289262199</v>
      </c>
      <c r="BS70" s="189">
        <v>37.515324287184491</v>
      </c>
      <c r="BT70" s="189">
        <v>33.954799885552468</v>
      </c>
      <c r="BU70" s="189">
        <v>30.588627086298839</v>
      </c>
    </row>
    <row r="71" spans="1:73" s="62" customFormat="1" ht="15" customHeight="1" x14ac:dyDescent="0.4">
      <c r="A71" s="56" t="s">
        <v>87</v>
      </c>
      <c r="B71" s="9" t="str">
        <f t="shared" si="17"/>
        <v>1.A.4.c.ii Agriculture/Forestry/Fishing - Off-road vehicles and other machinerykt CO2-eq WEM</v>
      </c>
      <c r="C71" s="48" t="s">
        <v>48</v>
      </c>
      <c r="D71" s="58" t="s">
        <v>117</v>
      </c>
      <c r="E71" s="58" t="s">
        <v>226</v>
      </c>
      <c r="F71" s="59"/>
      <c r="G71" s="60" t="str">
        <f t="shared" si="19"/>
        <v>Þús. tonn CO₂-íg. | kt CO₂e</v>
      </c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367"/>
      <c r="AP71" s="367">
        <f t="shared" si="18"/>
        <v>21.751104234845265</v>
      </c>
      <c r="AQ71" s="189">
        <v>21.301024909126294</v>
      </c>
      <c r="AR71" s="189">
        <v>21.017492284563708</v>
      </c>
      <c r="AS71" s="189">
        <v>20.690822202478554</v>
      </c>
      <c r="AT71" s="189">
        <v>20.318450311109103</v>
      </c>
      <c r="AU71" s="189">
        <v>19.900868719721476</v>
      </c>
      <c r="AV71" s="189">
        <v>19.437196017766365</v>
      </c>
      <c r="AW71" s="189">
        <v>19.74390591776644</v>
      </c>
      <c r="AX71" s="189">
        <v>20.028017512009235</v>
      </c>
      <c r="AY71" s="189">
        <v>20.283923984025545</v>
      </c>
      <c r="AZ71" s="189">
        <v>20.510346606939045</v>
      </c>
      <c r="BA71" s="189">
        <v>20.701701944407741</v>
      </c>
      <c r="BB71" s="189">
        <v>20.85173973075581</v>
      </c>
      <c r="BC71" s="189">
        <v>20.949491173837337</v>
      </c>
      <c r="BD71" s="189">
        <v>20.98548221125959</v>
      </c>
      <c r="BE71" s="189">
        <v>20.952030114256541</v>
      </c>
      <c r="BF71" s="189">
        <v>20.832955981284847</v>
      </c>
      <c r="BG71" s="189">
        <v>20.613933879553205</v>
      </c>
      <c r="BH71" s="189">
        <v>20.295706643607691</v>
      </c>
      <c r="BI71" s="189">
        <v>19.864749581255865</v>
      </c>
      <c r="BJ71" s="189">
        <v>19.316468446220789</v>
      </c>
      <c r="BK71" s="189">
        <v>18.646724559057581</v>
      </c>
      <c r="BL71" s="189">
        <v>17.859022958049653</v>
      </c>
      <c r="BM71" s="189">
        <v>16.958240451177499</v>
      </c>
      <c r="BN71" s="189">
        <v>15.948917901203254</v>
      </c>
      <c r="BO71" s="189">
        <v>14.863645289967661</v>
      </c>
      <c r="BP71" s="189">
        <v>13.725379611419111</v>
      </c>
      <c r="BQ71" s="189">
        <v>13.707448959481408</v>
      </c>
      <c r="BR71" s="189">
        <v>12.50132007359394</v>
      </c>
      <c r="BS71" s="189">
        <v>11.317474882180571</v>
      </c>
      <c r="BT71" s="189">
        <v>10.182624977436376</v>
      </c>
      <c r="BU71" s="189">
        <v>9.1143297612748064</v>
      </c>
    </row>
    <row r="72" spans="1:73" s="62" customFormat="1" ht="15" customHeight="1" x14ac:dyDescent="0.4">
      <c r="A72" s="56" t="s">
        <v>86</v>
      </c>
      <c r="B72" s="9" t="str">
        <f t="shared" si="17"/>
        <v>1.A.3.e.ii Other (please specify) kt CO2-eq WEM</v>
      </c>
      <c r="C72" s="48" t="s">
        <v>48</v>
      </c>
      <c r="D72" s="58" t="s">
        <v>118</v>
      </c>
      <c r="E72" s="58" t="s">
        <v>227</v>
      </c>
      <c r="F72" s="59"/>
      <c r="G72" s="60" t="str">
        <f t="shared" si="19"/>
        <v>Þús. tonn CO₂-íg. | kt CO₂e</v>
      </c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367"/>
      <c r="AP72" s="367">
        <f t="shared" si="18"/>
        <v>0.91881460757752842</v>
      </c>
      <c r="AQ72" s="189">
        <v>0</v>
      </c>
      <c r="AR72" s="189">
        <v>0</v>
      </c>
      <c r="AS72" s="189">
        <v>0</v>
      </c>
      <c r="AT72" s="189">
        <v>0</v>
      </c>
      <c r="AU72" s="189">
        <v>0</v>
      </c>
      <c r="AV72" s="189">
        <v>0</v>
      </c>
      <c r="AW72" s="189">
        <v>0</v>
      </c>
      <c r="AX72" s="189">
        <v>0</v>
      </c>
      <c r="AY72" s="189">
        <v>0</v>
      </c>
      <c r="AZ72" s="189">
        <v>0</v>
      </c>
      <c r="BA72" s="189">
        <v>0</v>
      </c>
      <c r="BB72" s="189">
        <v>0</v>
      </c>
      <c r="BC72" s="189">
        <v>0</v>
      </c>
      <c r="BD72" s="189">
        <v>0</v>
      </c>
      <c r="BE72" s="189">
        <v>0</v>
      </c>
      <c r="BF72" s="189">
        <v>0</v>
      </c>
      <c r="BG72" s="189">
        <v>0</v>
      </c>
      <c r="BH72" s="189">
        <v>0</v>
      </c>
      <c r="BI72" s="189">
        <v>0</v>
      </c>
      <c r="BJ72" s="189">
        <v>0</v>
      </c>
      <c r="BK72" s="189">
        <v>0</v>
      </c>
      <c r="BL72" s="189">
        <v>0</v>
      </c>
      <c r="BM72" s="189">
        <v>0</v>
      </c>
      <c r="BN72" s="189">
        <v>0</v>
      </c>
      <c r="BO72" s="189">
        <v>0</v>
      </c>
      <c r="BP72" s="189">
        <v>0</v>
      </c>
      <c r="BQ72" s="189">
        <v>0</v>
      </c>
      <c r="BR72" s="189">
        <v>0</v>
      </c>
      <c r="BS72" s="189">
        <v>0</v>
      </c>
      <c r="BT72" s="189">
        <v>0</v>
      </c>
      <c r="BU72" s="189">
        <v>0</v>
      </c>
    </row>
    <row r="73" spans="1:73" s="31" customFormat="1" x14ac:dyDescent="0.4">
      <c r="A73" s="38" t="s">
        <v>100</v>
      </c>
      <c r="B73" s="9" t="str">
        <f t="shared" si="17"/>
        <v>Fuel combustion in stationary industry kt CO2e WEM</v>
      </c>
      <c r="C73" s="48" t="s">
        <v>48</v>
      </c>
      <c r="D73" s="15" t="s">
        <v>215</v>
      </c>
      <c r="E73" s="15" t="s">
        <v>182</v>
      </c>
      <c r="F73" s="15"/>
      <c r="G73" s="16" t="str">
        <f t="shared" si="19"/>
        <v>Þús. tonn CO₂-íg. | kt CO₂e</v>
      </c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66"/>
      <c r="AP73" s="366">
        <f t="shared" si="18"/>
        <v>79.187330431701042</v>
      </c>
      <c r="AQ73" s="17">
        <f t="shared" ref="AQ73:BU73" si="21">AQ74-AQ75</f>
        <v>63.176813109974148</v>
      </c>
      <c r="AR73" s="17">
        <f t="shared" si="21"/>
        <v>59.517205941023775</v>
      </c>
      <c r="AS73" s="17">
        <f t="shared" si="21"/>
        <v>56.265755380462437</v>
      </c>
      <c r="AT73" s="17">
        <f t="shared" si="21"/>
        <v>53.771097047830857</v>
      </c>
      <c r="AU73" s="17">
        <f t="shared" si="21"/>
        <v>51.069560355199705</v>
      </c>
      <c r="AV73" s="17">
        <f t="shared" si="21"/>
        <v>47.484706163768656</v>
      </c>
      <c r="AW73" s="17">
        <f t="shared" si="21"/>
        <v>46.629042786270588</v>
      </c>
      <c r="AX73" s="17">
        <f t="shared" si="21"/>
        <v>45.569760326927764</v>
      </c>
      <c r="AY73" s="17">
        <f t="shared" si="21"/>
        <v>44.424600757426958</v>
      </c>
      <c r="AZ73" s="17">
        <f t="shared" si="21"/>
        <v>43.240966165223554</v>
      </c>
      <c r="BA73" s="17">
        <f t="shared" si="21"/>
        <v>42.037491594072407</v>
      </c>
      <c r="BB73" s="17">
        <f t="shared" si="21"/>
        <v>40.828217520456136</v>
      </c>
      <c r="BC73" s="17">
        <f t="shared" si="21"/>
        <v>39.610710389187062</v>
      </c>
      <c r="BD73" s="17">
        <f t="shared" si="21"/>
        <v>38.385422197044534</v>
      </c>
      <c r="BE73" s="17">
        <f t="shared" si="21"/>
        <v>37.149256452105348</v>
      </c>
      <c r="BF73" s="17">
        <f t="shared" si="21"/>
        <v>35.905335778158701</v>
      </c>
      <c r="BG73" s="17">
        <f t="shared" si="21"/>
        <v>34.333767264733879</v>
      </c>
      <c r="BH73" s="17">
        <f t="shared" si="21"/>
        <v>32.748724270783967</v>
      </c>
      <c r="BI73" s="17">
        <f t="shared" si="21"/>
        <v>31.156041036427325</v>
      </c>
      <c r="BJ73" s="17">
        <f t="shared" si="21"/>
        <v>29.555489202136357</v>
      </c>
      <c r="BK73" s="17">
        <f t="shared" si="21"/>
        <v>27.947114467787202</v>
      </c>
      <c r="BL73" s="17">
        <f t="shared" si="21"/>
        <v>26.327695778925246</v>
      </c>
      <c r="BM73" s="17">
        <f t="shared" si="21"/>
        <v>24.697092667895888</v>
      </c>
      <c r="BN73" s="17">
        <f t="shared" si="21"/>
        <v>23.055164362890274</v>
      </c>
      <c r="BO73" s="17">
        <f t="shared" si="21"/>
        <v>21.401708184227473</v>
      </c>
      <c r="BP73" s="17">
        <f t="shared" si="21"/>
        <v>19.739697773600902</v>
      </c>
      <c r="BQ73" s="17">
        <f t="shared" si="21"/>
        <v>18.062953543479708</v>
      </c>
      <c r="BR73" s="17">
        <f t="shared" si="21"/>
        <v>16.377305919580316</v>
      </c>
      <c r="BS73" s="17">
        <f t="shared" si="21"/>
        <v>14.679589439840534</v>
      </c>
      <c r="BT73" s="17">
        <f t="shared" si="21"/>
        <v>12.969748115375161</v>
      </c>
      <c r="BU73" s="17">
        <f t="shared" si="21"/>
        <v>11.244611811311255</v>
      </c>
    </row>
    <row r="74" spans="1:73" s="62" customFormat="1" ht="15" hidden="1" x14ac:dyDescent="0.25">
      <c r="A74" s="56" t="s">
        <v>248</v>
      </c>
      <c r="B74" s="9" t="str">
        <f t="shared" si="17"/>
        <v>1.A.2 Manufacturing Industries and constructionkt CO2-eq WEM</v>
      </c>
      <c r="C74" s="20" t="s">
        <v>48</v>
      </c>
      <c r="D74" s="65"/>
      <c r="E74" s="64"/>
      <c r="F74" s="65"/>
      <c r="G74" s="66" t="str">
        <f t="shared" si="19"/>
        <v>Þús. tonn CO₂-íg. | kt CO₂e</v>
      </c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386"/>
      <c r="AP74" s="386">
        <f t="shared" si="18"/>
        <v>133.00171782354232</v>
      </c>
      <c r="AQ74" s="190">
        <v>118.76786100903604</v>
      </c>
      <c r="AR74" s="190">
        <v>115.95092014102704</v>
      </c>
      <c r="AS74" s="190">
        <v>113.48126145712779</v>
      </c>
      <c r="AT74" s="190">
        <v>112.03780240982209</v>
      </c>
      <c r="AU74" s="190">
        <v>110.62487851922857</v>
      </c>
      <c r="AV74" s="190">
        <v>108.36284472724093</v>
      </c>
      <c r="AW74" s="190">
        <v>108.75274007597102</v>
      </c>
      <c r="AX74" s="190">
        <v>108.87431361413164</v>
      </c>
      <c r="AY74" s="190">
        <v>108.76501826732401</v>
      </c>
      <c r="AZ74" s="190">
        <v>108.46103963329804</v>
      </c>
      <c r="BA74" s="190">
        <v>108.00804537709082</v>
      </c>
      <c r="BB74" s="190">
        <v>107.51442237815189</v>
      </c>
      <c r="BC74" s="190">
        <v>106.88042805193237</v>
      </c>
      <c r="BD74" s="190">
        <v>106.07823874608511</v>
      </c>
      <c r="BE74" s="190">
        <v>105.06770545701085</v>
      </c>
      <c r="BF74" s="190">
        <v>103.81899875940795</v>
      </c>
      <c r="BG74" s="190">
        <v>101.96897236385654</v>
      </c>
      <c r="BH74" s="190">
        <v>99.790664946048551</v>
      </c>
      <c r="BI74" s="190">
        <v>97.251008232761848</v>
      </c>
      <c r="BJ74" s="190">
        <v>94.314496445440525</v>
      </c>
      <c r="BK74" s="190">
        <v>90.962964655813067</v>
      </c>
      <c r="BL74" s="190">
        <v>87.182852073642664</v>
      </c>
      <c r="BM74" s="190">
        <v>82.984955961287312</v>
      </c>
      <c r="BN74" s="190">
        <v>78.401757986698655</v>
      </c>
      <c r="BO74" s="190">
        <v>73.48619706635975</v>
      </c>
      <c r="BP74" s="190">
        <v>68.319258205764399</v>
      </c>
      <c r="BQ74" s="190">
        <v>62.982136669534249</v>
      </c>
      <c r="BR74" s="190">
        <v>57.577019208842515</v>
      </c>
      <c r="BS74" s="190">
        <v>52.194913727025025</v>
      </c>
      <c r="BT74" s="190">
        <v>46.924548000927629</v>
      </c>
      <c r="BU74" s="190">
        <v>41.833238897610094</v>
      </c>
    </row>
    <row r="75" spans="1:73" s="62" customFormat="1" ht="15" hidden="1" x14ac:dyDescent="0.25">
      <c r="A75" s="56" t="s">
        <v>54</v>
      </c>
      <c r="B75" s="9" t="str">
        <f t="shared" si="17"/>
        <v>1.A.2.g.vii Off road vehicles and other machinerykt CO2-eq WEM</v>
      </c>
      <c r="C75" s="63" t="s">
        <v>48</v>
      </c>
      <c r="D75" s="65"/>
      <c r="E75" s="64"/>
      <c r="F75" s="65"/>
      <c r="G75" s="66" t="str">
        <f t="shared" si="19"/>
        <v>Þús. tonn CO₂-íg. | kt CO₂e</v>
      </c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386"/>
      <c r="AP75" s="386">
        <f t="shared" si="18"/>
        <v>53.814387391841272</v>
      </c>
      <c r="AQ75" s="190">
        <v>55.591047899061891</v>
      </c>
      <c r="AR75" s="190">
        <v>56.433714200003266</v>
      </c>
      <c r="AS75" s="190">
        <v>57.215506076665349</v>
      </c>
      <c r="AT75" s="190">
        <v>58.266705361991235</v>
      </c>
      <c r="AU75" s="190">
        <v>59.555318164028868</v>
      </c>
      <c r="AV75" s="190">
        <v>60.87813856347227</v>
      </c>
      <c r="AW75" s="190">
        <v>62.123697289700431</v>
      </c>
      <c r="AX75" s="190">
        <v>63.304553287203873</v>
      </c>
      <c r="AY75" s="190">
        <v>64.340417509897051</v>
      </c>
      <c r="AZ75" s="190">
        <v>65.220073468074489</v>
      </c>
      <c r="BA75" s="190">
        <v>65.970553783018417</v>
      </c>
      <c r="BB75" s="190">
        <v>66.686204857695756</v>
      </c>
      <c r="BC75" s="190">
        <v>67.269717662745308</v>
      </c>
      <c r="BD75" s="190">
        <v>67.692816549040572</v>
      </c>
      <c r="BE75" s="190">
        <v>67.918449004905497</v>
      </c>
      <c r="BF75" s="190">
        <v>67.913662981249246</v>
      </c>
      <c r="BG75" s="190">
        <v>67.635205099122658</v>
      </c>
      <c r="BH75" s="190">
        <v>67.041940675264584</v>
      </c>
      <c r="BI75" s="190">
        <v>66.094967196334522</v>
      </c>
      <c r="BJ75" s="190">
        <v>64.759007243304168</v>
      </c>
      <c r="BK75" s="190">
        <v>63.015850188025865</v>
      </c>
      <c r="BL75" s="190">
        <v>60.855156294717418</v>
      </c>
      <c r="BM75" s="190">
        <v>58.287863293391425</v>
      </c>
      <c r="BN75" s="190">
        <v>55.346593623808381</v>
      </c>
      <c r="BO75" s="190">
        <v>52.084488882132277</v>
      </c>
      <c r="BP75" s="190">
        <v>48.579560432163497</v>
      </c>
      <c r="BQ75" s="190">
        <v>44.919183126054541</v>
      </c>
      <c r="BR75" s="190">
        <v>41.199713289262199</v>
      </c>
      <c r="BS75" s="190">
        <v>37.515324287184491</v>
      </c>
      <c r="BT75" s="190">
        <v>33.954799885552468</v>
      </c>
      <c r="BU75" s="190">
        <v>30.588627086298839</v>
      </c>
    </row>
    <row r="76" spans="1:73" s="31" customFormat="1" ht="15" customHeight="1" x14ac:dyDescent="0.4">
      <c r="A76" s="38" t="s">
        <v>55</v>
      </c>
      <c r="B76" s="9" t="str">
        <f t="shared" si="17"/>
        <v>1.B.2.d Geothermal Energykt CO2-eq WEM</v>
      </c>
      <c r="C76" s="63" t="s">
        <v>48</v>
      </c>
      <c r="D76" s="15" t="s">
        <v>10</v>
      </c>
      <c r="E76" s="14" t="s">
        <v>139</v>
      </c>
      <c r="F76" s="15"/>
      <c r="G76" s="16" t="str">
        <f t="shared" si="19"/>
        <v>Þús. tonn CO₂-íg. | kt CO₂e</v>
      </c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66"/>
      <c r="AP76" s="366">
        <f t="shared" si="18"/>
        <v>223.69103641446083</v>
      </c>
      <c r="AQ76" s="78">
        <v>161.90923786466362</v>
      </c>
      <c r="AR76" s="78">
        <v>149.35848944804636</v>
      </c>
      <c r="AS76" s="78">
        <v>149.38516559080051</v>
      </c>
      <c r="AT76" s="78">
        <v>149.37895541529147</v>
      </c>
      <c r="AU76" s="78">
        <v>149.37420348471278</v>
      </c>
      <c r="AV76" s="78">
        <v>136.58084149693491</v>
      </c>
      <c r="AW76" s="78">
        <v>136.5789334656464</v>
      </c>
      <c r="AX76" s="78">
        <v>136.57845948243136</v>
      </c>
      <c r="AY76" s="78">
        <v>136.57941148167083</v>
      </c>
      <c r="AZ76" s="78">
        <v>136.57893480991618</v>
      </c>
      <c r="BA76" s="78">
        <v>136.57893525800614</v>
      </c>
      <c r="BB76" s="78">
        <v>136.57909384986442</v>
      </c>
      <c r="BC76" s="78">
        <v>136.5789879725956</v>
      </c>
      <c r="BD76" s="78">
        <v>136.57900569348868</v>
      </c>
      <c r="BE76" s="78">
        <v>136.57902917198288</v>
      </c>
      <c r="BF76" s="78">
        <v>136.57900761268905</v>
      </c>
      <c r="BG76" s="78">
        <v>136.57901415938687</v>
      </c>
      <c r="BH76" s="78">
        <v>136.57901698135294</v>
      </c>
      <c r="BI76" s="78">
        <v>136.57901291780962</v>
      </c>
      <c r="BJ76" s="78">
        <v>136.57901468618314</v>
      </c>
      <c r="BK76" s="78">
        <v>136.5790148617819</v>
      </c>
      <c r="BL76" s="78">
        <v>136.57901415525822</v>
      </c>
      <c r="BM76" s="78">
        <v>136.57901456774113</v>
      </c>
      <c r="BN76" s="78">
        <v>136.57901452826042</v>
      </c>
      <c r="BO76" s="78">
        <v>136.57901441708657</v>
      </c>
      <c r="BP76" s="78">
        <v>136.5790145043627</v>
      </c>
      <c r="BQ76" s="78">
        <v>136.57901448323656</v>
      </c>
      <c r="BR76" s="78">
        <v>136.57901446822859</v>
      </c>
      <c r="BS76" s="78">
        <v>136.57901448527593</v>
      </c>
      <c r="BT76" s="78">
        <v>136.57901447891368</v>
      </c>
      <c r="BU76" s="78">
        <v>136.57901447747275</v>
      </c>
    </row>
    <row r="77" spans="1:73" s="31" customFormat="1" ht="15" customHeight="1" x14ac:dyDescent="0.4">
      <c r="A77" s="38" t="s">
        <v>99</v>
      </c>
      <c r="B77" s="9" t="str">
        <f t="shared" si="17"/>
        <v>1. Energy OTHER kt CO2-eq WEM</v>
      </c>
      <c r="C77" s="63" t="s">
        <v>48</v>
      </c>
      <c r="D77" s="42" t="s">
        <v>24</v>
      </c>
      <c r="E77" s="14" t="s">
        <v>189</v>
      </c>
      <c r="F77" s="15"/>
      <c r="G77" s="16" t="str">
        <f t="shared" si="19"/>
        <v>Þús. tonn CO₂-íg. | kt CO₂e</v>
      </c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66"/>
      <c r="AP77" s="366">
        <f t="shared" si="18"/>
        <v>27.717092995372923</v>
      </c>
      <c r="AQ77" s="17">
        <f t="shared" ref="AQ77:BU77" si="22">AQ78-SUM(AQ65:AQ66,AQ67:AQ69,AQ73,AQ76)</f>
        <v>16.315803623754391</v>
      </c>
      <c r="AR77" s="17">
        <f t="shared" si="22"/>
        <v>16.356794101005335</v>
      </c>
      <c r="AS77" s="17">
        <f t="shared" si="22"/>
        <v>17.025558339914141</v>
      </c>
      <c r="AT77" s="17">
        <f t="shared" si="22"/>
        <v>17.719035713285166</v>
      </c>
      <c r="AU77" s="17">
        <f t="shared" si="22"/>
        <v>17.694241389430999</v>
      </c>
      <c r="AV77" s="17">
        <f t="shared" si="22"/>
        <v>17.455799907764003</v>
      </c>
      <c r="AW77" s="17">
        <f t="shared" si="22"/>
        <v>16.732483116466938</v>
      </c>
      <c r="AX77" s="17">
        <f t="shared" si="22"/>
        <v>17.351502601343554</v>
      </c>
      <c r="AY77" s="17">
        <f t="shared" si="22"/>
        <v>17.43328476798456</v>
      </c>
      <c r="AZ77" s="17">
        <f t="shared" si="22"/>
        <v>17.502557947761716</v>
      </c>
      <c r="BA77" s="17">
        <f t="shared" si="22"/>
        <v>17.439014977572924</v>
      </c>
      <c r="BB77" s="17">
        <f t="shared" si="22"/>
        <v>17.368300130093303</v>
      </c>
      <c r="BC77" s="17">
        <f t="shared" si="22"/>
        <v>17.336361869071425</v>
      </c>
      <c r="BD77" s="17">
        <f t="shared" si="22"/>
        <v>17.408678219148669</v>
      </c>
      <c r="BE77" s="17">
        <f t="shared" si="22"/>
        <v>17.38248454711038</v>
      </c>
      <c r="BF77" s="17">
        <f t="shared" si="22"/>
        <v>17.352906600184042</v>
      </c>
      <c r="BG77" s="17">
        <f t="shared" si="22"/>
        <v>17.302546987928508</v>
      </c>
      <c r="BH77" s="17">
        <f t="shared" si="22"/>
        <v>17.257915307593862</v>
      </c>
      <c r="BI77" s="17">
        <f t="shared" si="22"/>
        <v>17.224391491530355</v>
      </c>
      <c r="BJ77" s="17">
        <f t="shared" si="22"/>
        <v>17.177403053706257</v>
      </c>
      <c r="BK77" s="17">
        <f t="shared" si="22"/>
        <v>17.122190995310802</v>
      </c>
      <c r="BL77" s="17">
        <f t="shared" si="22"/>
        <v>17.038736479603131</v>
      </c>
      <c r="BM77" s="17">
        <f t="shared" si="22"/>
        <v>16.945319496739387</v>
      </c>
      <c r="BN77" s="17">
        <f t="shared" si="22"/>
        <v>16.810834512148972</v>
      </c>
      <c r="BO77" s="17">
        <f t="shared" si="22"/>
        <v>16.591278060136574</v>
      </c>
      <c r="BP77" s="17">
        <f t="shared" si="22"/>
        <v>16.096978248694086</v>
      </c>
      <c r="BQ77" s="17">
        <f t="shared" si="22"/>
        <v>16.113046862018621</v>
      </c>
      <c r="BR77" s="17">
        <f t="shared" si="22"/>
        <v>16.118705547302852</v>
      </c>
      <c r="BS77" s="17">
        <f t="shared" si="22"/>
        <v>16.126764625422311</v>
      </c>
      <c r="BT77" s="17">
        <f t="shared" si="22"/>
        <v>16.135168019305695</v>
      </c>
      <c r="BU77" s="17">
        <f t="shared" si="22"/>
        <v>16.138613310238753</v>
      </c>
    </row>
    <row r="78" spans="1:73" s="35" customFormat="1" ht="15" customHeight="1" x14ac:dyDescent="0.4">
      <c r="A78" s="38" t="s">
        <v>42</v>
      </c>
      <c r="B78" s="9" t="str">
        <f t="shared" si="17"/>
        <v>1. Energykt CO2-eq WEM</v>
      </c>
      <c r="C78" s="63" t="s">
        <v>48</v>
      </c>
      <c r="D78" s="46" t="s">
        <v>135</v>
      </c>
      <c r="E78" s="21"/>
      <c r="F78" s="22"/>
      <c r="G78" s="23" t="str">
        <f t="shared" si="19"/>
        <v>Þús. tonn CO₂-íg. | kt CO₂e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68"/>
      <c r="AP78" s="368">
        <f t="shared" si="18"/>
        <v>1858.8672934650326</v>
      </c>
      <c r="AQ78" s="187">
        <v>1711.7556166329857</v>
      </c>
      <c r="AR78" s="187">
        <v>1671.3519852210879</v>
      </c>
      <c r="AS78" s="187">
        <v>1645.000807118912</v>
      </c>
      <c r="AT78" s="187">
        <v>1620.7386596957458</v>
      </c>
      <c r="AU78" s="187">
        <v>1602.3736575290834</v>
      </c>
      <c r="AV78" s="187">
        <v>1555.8613918763338</v>
      </c>
      <c r="AW78" s="187">
        <v>1518.6839682507762</v>
      </c>
      <c r="AX78" s="187">
        <v>1480.685085284003</v>
      </c>
      <c r="AY78" s="187">
        <v>1439.4489671428621</v>
      </c>
      <c r="AZ78" s="187">
        <v>1391.2663505998396</v>
      </c>
      <c r="BA78" s="187">
        <v>1316.2117473892265</v>
      </c>
      <c r="BB78" s="187">
        <v>1242.558517934895</v>
      </c>
      <c r="BC78" s="187">
        <v>1165.884692954817</v>
      </c>
      <c r="BD78" s="187">
        <v>1091.7267261061079</v>
      </c>
      <c r="BE78" s="187">
        <v>1015.232203853963</v>
      </c>
      <c r="BF78" s="187">
        <v>935.91181243172991</v>
      </c>
      <c r="BG78" s="187">
        <v>857.24121135924906</v>
      </c>
      <c r="BH78" s="187">
        <v>789.3432467811823</v>
      </c>
      <c r="BI78" s="187">
        <v>725.43197177940863</v>
      </c>
      <c r="BJ78" s="187">
        <v>672.60011227180826</v>
      </c>
      <c r="BK78" s="187">
        <v>618.20393739541259</v>
      </c>
      <c r="BL78" s="187">
        <v>568.41241826189321</v>
      </c>
      <c r="BM78" s="187">
        <v>520.3317610559377</v>
      </c>
      <c r="BN78" s="187">
        <v>475.79963010580281</v>
      </c>
      <c r="BO78" s="187">
        <v>433.87040271422825</v>
      </c>
      <c r="BP78" s="187">
        <v>398.33668134463665</v>
      </c>
      <c r="BQ78" s="187">
        <v>368.15653436583091</v>
      </c>
      <c r="BR78" s="187">
        <v>339.01195112299945</v>
      </c>
      <c r="BS78" s="187">
        <v>311.81674528311646</v>
      </c>
      <c r="BT78" s="187">
        <v>287.46998091093093</v>
      </c>
      <c r="BU78" s="187">
        <v>266.11172136705977</v>
      </c>
    </row>
    <row r="79" spans="1:73" s="381" customFormat="1" ht="15" customHeight="1" x14ac:dyDescent="0.4">
      <c r="A79" s="385" t="s">
        <v>352</v>
      </c>
      <c r="B79" s="191"/>
      <c r="C79" s="380"/>
      <c r="D79" s="191" t="s">
        <v>351</v>
      </c>
      <c r="E79" s="340"/>
      <c r="F79" s="191"/>
      <c r="G79" s="382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383"/>
      <c r="AD79" s="383"/>
      <c r="AE79" s="383"/>
      <c r="AF79" s="383"/>
      <c r="AG79" s="383"/>
      <c r="AH79" s="383"/>
      <c r="AI79" s="383"/>
      <c r="AJ79" s="383"/>
      <c r="AK79" s="383"/>
      <c r="AL79" s="383"/>
      <c r="AM79" s="383"/>
      <c r="AN79" s="383"/>
      <c r="AO79" s="383">
        <f>AO63</f>
        <v>191.18077811873465</v>
      </c>
      <c r="AP79" s="383">
        <f t="shared" si="18"/>
        <v>217.34480085199726</v>
      </c>
      <c r="AQ79" s="383">
        <f t="shared" ref="AQ79:BU79" si="23">AQ78-AQ65-AQ66-AQ76</f>
        <v>196.03403827849752</v>
      </c>
      <c r="AR79" s="383">
        <f t="shared" si="23"/>
        <v>193.18209136518865</v>
      </c>
      <c r="AS79" s="383">
        <f t="shared" si="23"/>
        <v>190.87600509692686</v>
      </c>
      <c r="AT79" s="383">
        <f t="shared" si="23"/>
        <v>189.51578447362098</v>
      </c>
      <c r="AU79" s="383">
        <f t="shared" si="23"/>
        <v>187.35163947759236</v>
      </c>
      <c r="AV79" s="383">
        <f t="shared" si="23"/>
        <v>183.35381502857922</v>
      </c>
      <c r="AW79" s="383">
        <f t="shared" si="23"/>
        <v>181.19924003834194</v>
      </c>
      <c r="AX79" s="383">
        <f t="shared" si="23"/>
        <v>177.5539997024801</v>
      </c>
      <c r="AY79" s="383">
        <f t="shared" si="23"/>
        <v>177.36909408292786</v>
      </c>
      <c r="AZ79" s="383">
        <f t="shared" si="23"/>
        <v>176.7539375082971</v>
      </c>
      <c r="BA79" s="383">
        <f t="shared" si="23"/>
        <v>171.14091477904299</v>
      </c>
      <c r="BB79" s="383">
        <f t="shared" si="23"/>
        <v>169.50421335316173</v>
      </c>
      <c r="BC79" s="383">
        <f t="shared" si="23"/>
        <v>167.33039646355832</v>
      </c>
      <c r="BD79" s="383">
        <f t="shared" si="23"/>
        <v>164.64173769629213</v>
      </c>
      <c r="BE79" s="383">
        <f t="shared" si="23"/>
        <v>161.25218911487895</v>
      </c>
      <c r="BF79" s="383">
        <f t="shared" si="23"/>
        <v>157.3065163948105</v>
      </c>
      <c r="BG79" s="383">
        <f t="shared" si="23"/>
        <v>152.65097228117656</v>
      </c>
      <c r="BH79" s="383">
        <f t="shared" si="23"/>
        <v>147.72116236821171</v>
      </c>
      <c r="BI79" s="383">
        <f t="shared" si="23"/>
        <v>142.61238905124236</v>
      </c>
      <c r="BJ79" s="383">
        <f t="shared" si="23"/>
        <v>137.32379130507235</v>
      </c>
      <c r="BK79" s="383">
        <f t="shared" si="23"/>
        <v>131.84181149851378</v>
      </c>
      <c r="BL79" s="383">
        <f t="shared" si="23"/>
        <v>126.1021760727229</v>
      </c>
      <c r="BM79" s="383">
        <f t="shared" si="23"/>
        <v>120.07595462679632</v>
      </c>
      <c r="BN79" s="383">
        <f t="shared" si="23"/>
        <v>113.71958145140508</v>
      </c>
      <c r="BO79" s="383">
        <f t="shared" si="23"/>
        <v>107.01817089608954</v>
      </c>
      <c r="BP79" s="383">
        <f t="shared" si="23"/>
        <v>99.847282903207599</v>
      </c>
      <c r="BQ79" s="383">
        <f t="shared" si="23"/>
        <v>94.215186082677548</v>
      </c>
      <c r="BR79" s="383">
        <f t="shared" si="23"/>
        <v>87.370894578404403</v>
      </c>
      <c r="BS79" s="383">
        <f t="shared" si="23"/>
        <v>80.612169619713598</v>
      </c>
      <c r="BT79" s="383">
        <f t="shared" si="23"/>
        <v>74.040646921914146</v>
      </c>
      <c r="BU79" s="383">
        <f t="shared" si="23"/>
        <v>67.727694695065253</v>
      </c>
    </row>
    <row r="81" spans="1:73" s="304" customFormat="1" ht="42.6" customHeight="1" x14ac:dyDescent="0.75">
      <c r="A81" s="71"/>
      <c r="B81" s="71"/>
      <c r="C81" s="71"/>
      <c r="D81" s="301" t="s">
        <v>242</v>
      </c>
      <c r="E81" s="72"/>
      <c r="F81" s="302"/>
      <c r="G81" s="74"/>
      <c r="H81" s="75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</row>
    <row r="82" spans="1:73" s="319" customFormat="1" ht="37.200000000000003" customHeight="1" x14ac:dyDescent="0.4">
      <c r="A82" s="315"/>
      <c r="B82" s="315"/>
      <c r="C82" s="315"/>
      <c r="D82" s="260"/>
      <c r="E82" s="194"/>
      <c r="F82" s="194"/>
      <c r="G82" s="316"/>
      <c r="H82" s="317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  <c r="AU82" s="318"/>
      <c r="AV82" s="318"/>
      <c r="AW82" s="318"/>
      <c r="AX82" s="318"/>
      <c r="AY82" s="318"/>
      <c r="AZ82" s="318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</row>
    <row r="83" spans="1:73" s="117" customFormat="1" ht="22.5" customHeight="1" x14ac:dyDescent="0.4">
      <c r="A83" s="20"/>
      <c r="B83" s="1013" t="s">
        <v>48</v>
      </c>
      <c r="C83" s="5"/>
      <c r="D83" s="5" t="str">
        <f>$D$4</f>
        <v>Söguleg losun</v>
      </c>
      <c r="E83" s="5" t="s">
        <v>398</v>
      </c>
      <c r="F83" s="5"/>
      <c r="G83" s="5"/>
      <c r="H83" s="1014"/>
      <c r="I83" s="117" t="s">
        <v>48</v>
      </c>
      <c r="J83" s="111"/>
      <c r="K83" s="170"/>
      <c r="L83" s="63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015"/>
      <c r="AQ83" s="1015"/>
      <c r="AR83" s="1015"/>
      <c r="AS83" s="1015"/>
      <c r="AT83" s="1015"/>
      <c r="AU83" s="1015"/>
      <c r="AV83" s="1015"/>
      <c r="AW83" s="1015"/>
      <c r="AX83" s="1015"/>
      <c r="AY83" s="1015"/>
      <c r="AZ83" s="1015"/>
      <c r="BA83" s="1015"/>
      <c r="BB83" s="1015"/>
      <c r="BC83" s="1015"/>
      <c r="BD83" s="1015"/>
      <c r="BE83" s="1015"/>
      <c r="BF83" s="1015"/>
      <c r="BG83" s="1015"/>
      <c r="BH83" s="1015"/>
      <c r="BI83" s="1015"/>
      <c r="BJ83" s="1015"/>
      <c r="BK83" s="1015"/>
      <c r="BL83" s="1015"/>
      <c r="BM83" s="1015"/>
      <c r="BN83" s="1015"/>
      <c r="BO83" s="1015"/>
      <c r="BP83" s="1015"/>
      <c r="BQ83" s="1015"/>
      <c r="BR83" s="1015"/>
      <c r="BS83" s="1015"/>
      <c r="BT83" s="1015"/>
    </row>
    <row r="84" spans="1:73" s="31" customFormat="1" x14ac:dyDescent="0.4">
      <c r="A84" s="38" t="s">
        <v>58</v>
      </c>
      <c r="B84" s="358" t="s">
        <v>48</v>
      </c>
      <c r="C84" s="20"/>
      <c r="D84" s="15" t="s">
        <v>15</v>
      </c>
      <c r="E84" s="14" t="s">
        <v>155</v>
      </c>
      <c r="F84" s="15"/>
      <c r="G84" s="16" t="str">
        <f t="shared" ref="G84:G93" si="24">$G$5</f>
        <v>Þús. tonn CO₂-íg. | kt CO₂e</v>
      </c>
      <c r="H84" s="17">
        <v>584.02647277080598</v>
      </c>
      <c r="I84" s="17">
        <v>511.273947602943</v>
      </c>
      <c r="J84" s="17">
        <v>301.38514547007009</v>
      </c>
      <c r="K84" s="17">
        <v>220.97402310838271</v>
      </c>
      <c r="L84" s="17">
        <v>198.23658153612337</v>
      </c>
      <c r="M84" s="17">
        <v>216.34383922975644</v>
      </c>
      <c r="N84" s="17">
        <v>186.93379884741088</v>
      </c>
      <c r="O84" s="17">
        <v>280.12409822292682</v>
      </c>
      <c r="P84" s="17">
        <v>462.00564836059743</v>
      </c>
      <c r="Q84" s="17">
        <v>537.93035391162721</v>
      </c>
      <c r="R84" s="17">
        <v>487.74535268246626</v>
      </c>
      <c r="S84" s="17">
        <v>479.60292131211997</v>
      </c>
      <c r="T84" s="17">
        <v>478.11541899358679</v>
      </c>
      <c r="U84" s="17">
        <v>473.56894969857348</v>
      </c>
      <c r="V84" s="17">
        <v>456.78557352619629</v>
      </c>
      <c r="W84" s="17">
        <v>444.80851616708713</v>
      </c>
      <c r="X84" s="17">
        <v>869.57185988485026</v>
      </c>
      <c r="Y84" s="17">
        <v>990.98126629758121</v>
      </c>
      <c r="Z84" s="17">
        <v>1556.7584922170536</v>
      </c>
      <c r="AA84" s="17">
        <v>1393.4018646112659</v>
      </c>
      <c r="AB84" s="17">
        <v>1391.9209450624717</v>
      </c>
      <c r="AC84" s="17">
        <v>1281.3105455922127</v>
      </c>
      <c r="AD84" s="17">
        <v>1328.7342410906138</v>
      </c>
      <c r="AE84" s="17">
        <v>1353.4714335748733</v>
      </c>
      <c r="AF84" s="17">
        <v>1368.5549133196287</v>
      </c>
      <c r="AG84" s="17">
        <v>1392.8009611325194</v>
      </c>
      <c r="AH84" s="17">
        <v>1354.0817500285532</v>
      </c>
      <c r="AI84" s="17">
        <v>1385.559079923195</v>
      </c>
      <c r="AJ84" s="17">
        <v>1382.5326490562106</v>
      </c>
      <c r="AK84" s="17">
        <v>1348.3578754895577</v>
      </c>
      <c r="AL84" s="17">
        <v>1328.8493581323712</v>
      </c>
      <c r="AM84" s="17">
        <v>1345.5222697586937</v>
      </c>
      <c r="AN84" s="17">
        <v>1354.2007303406649</v>
      </c>
      <c r="AO84" s="17">
        <v>1402.6496416686878</v>
      </c>
      <c r="AP84" s="17">
        <v>1360.4102725798757</v>
      </c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</row>
    <row r="85" spans="1:73" s="31" customFormat="1" x14ac:dyDescent="0.4">
      <c r="A85" s="38" t="s">
        <v>223</v>
      </c>
      <c r="B85" s="358" t="s">
        <v>48</v>
      </c>
      <c r="C85" s="20"/>
      <c r="D85" s="15" t="s">
        <v>39</v>
      </c>
      <c r="E85" s="14" t="s">
        <v>156</v>
      </c>
      <c r="F85" s="15"/>
      <c r="G85" s="16" t="str">
        <f t="shared" si="24"/>
        <v>Þús. tonn CO₂-íg. | kt CO₂e</v>
      </c>
      <c r="H85" s="17">
        <v>210.55472170666667</v>
      </c>
      <c r="I85" s="17">
        <v>176.80528261706669</v>
      </c>
      <c r="J85" s="17">
        <v>188.28332888506671</v>
      </c>
      <c r="K85" s="17">
        <v>238.53559058533338</v>
      </c>
      <c r="L85" s="17">
        <v>232.49217533253338</v>
      </c>
      <c r="M85" s="17">
        <v>245.96401927226665</v>
      </c>
      <c r="N85" s="17">
        <v>235.22782835253332</v>
      </c>
      <c r="O85" s="17">
        <v>257.17700316373333</v>
      </c>
      <c r="P85" s="17">
        <v>198.58720348560001</v>
      </c>
      <c r="Q85" s="17">
        <v>257.83106455839999</v>
      </c>
      <c r="R85" s="17">
        <v>365.65036656475536</v>
      </c>
      <c r="S85" s="17">
        <v>386.08921316544843</v>
      </c>
      <c r="T85" s="17">
        <v>403.9326403148857</v>
      </c>
      <c r="U85" s="17">
        <v>402.47385277209037</v>
      </c>
      <c r="V85" s="17">
        <v>401.96736076842336</v>
      </c>
      <c r="W85" s="17">
        <v>379.94289400640002</v>
      </c>
      <c r="X85" s="17">
        <v>381.71962690880008</v>
      </c>
      <c r="Y85" s="17">
        <v>401.35289110400004</v>
      </c>
      <c r="Z85" s="17">
        <v>351.97302632799995</v>
      </c>
      <c r="AA85" s="17">
        <v>353.3588710624</v>
      </c>
      <c r="AB85" s="17">
        <v>372.56202565120009</v>
      </c>
      <c r="AC85" s="17">
        <v>380.41566972484713</v>
      </c>
      <c r="AD85" s="17">
        <v>413.43718523066929</v>
      </c>
      <c r="AE85" s="17">
        <v>409.5077919157888</v>
      </c>
      <c r="AF85" s="17">
        <v>371.44549117182407</v>
      </c>
      <c r="AG85" s="17">
        <v>404.22007331306247</v>
      </c>
      <c r="AH85" s="17">
        <v>408.51819724381278</v>
      </c>
      <c r="AI85" s="17">
        <v>431.82186025965422</v>
      </c>
      <c r="AJ85" s="17">
        <v>455.77922710046619</v>
      </c>
      <c r="AK85" s="17">
        <v>432.40627007368806</v>
      </c>
      <c r="AL85" s="17">
        <v>418.71234892799322</v>
      </c>
      <c r="AM85" s="17">
        <v>476.02459170932525</v>
      </c>
      <c r="AN85" s="17">
        <v>517.72039053568767</v>
      </c>
      <c r="AO85" s="17">
        <v>408.20430474231654</v>
      </c>
      <c r="AP85" s="17">
        <v>527.31915978550001</v>
      </c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</row>
    <row r="86" spans="1:73" s="31" customFormat="1" x14ac:dyDescent="0.4">
      <c r="A86" s="38" t="s">
        <v>60</v>
      </c>
      <c r="B86" s="358" t="s">
        <v>48</v>
      </c>
      <c r="C86" s="20"/>
      <c r="D86" s="15" t="s">
        <v>16</v>
      </c>
      <c r="E86" s="14" t="s">
        <v>137</v>
      </c>
      <c r="F86" s="15"/>
      <c r="G86" s="16" t="str">
        <f t="shared" si="24"/>
        <v>Þús. tonn CO₂-íg. | kt CO₂e</v>
      </c>
      <c r="H86" s="1135">
        <f>I86</f>
        <v>0.63441013664710888</v>
      </c>
      <c r="I86" s="77">
        <v>0.63441013664710888</v>
      </c>
      <c r="J86" s="77">
        <v>0.6418713797324751</v>
      </c>
      <c r="K86" s="77">
        <v>1.4398660686613078</v>
      </c>
      <c r="L86" s="77">
        <v>1.8532219037378401</v>
      </c>
      <c r="M86" s="77">
        <v>3.1524374656527585</v>
      </c>
      <c r="N86" s="17">
        <v>10.090640056146546</v>
      </c>
      <c r="O86" s="17">
        <v>16.136542009196635</v>
      </c>
      <c r="P86" s="17">
        <v>25.459577985176988</v>
      </c>
      <c r="Q86" s="17">
        <v>36.986739180206612</v>
      </c>
      <c r="R86" s="17">
        <v>42.96969339471142</v>
      </c>
      <c r="S86" s="17">
        <v>39.801371599174495</v>
      </c>
      <c r="T86" s="17">
        <v>44.625502235345373</v>
      </c>
      <c r="U86" s="17">
        <v>45.089736085133353</v>
      </c>
      <c r="V86" s="17">
        <v>52.144058659343614</v>
      </c>
      <c r="W86" s="17">
        <v>57.174648942645199</v>
      </c>
      <c r="X86" s="17">
        <v>66.250268649095815</v>
      </c>
      <c r="Y86" s="17">
        <v>66.915546026360261</v>
      </c>
      <c r="Z86" s="17">
        <v>65.583171157312066</v>
      </c>
      <c r="AA86" s="17">
        <v>78.795271949020886</v>
      </c>
      <c r="AB86" s="17">
        <v>106.61470091301383</v>
      </c>
      <c r="AC86" s="17">
        <v>131.32983003906716</v>
      </c>
      <c r="AD86" s="17">
        <v>136.49856009831677</v>
      </c>
      <c r="AE86" s="17">
        <v>166.65889710933112</v>
      </c>
      <c r="AF86" s="17">
        <v>164.47325731678617</v>
      </c>
      <c r="AG86" s="17">
        <v>156.81946341166957</v>
      </c>
      <c r="AH86" s="17">
        <v>173.64328427983708</v>
      </c>
      <c r="AI86" s="17">
        <v>164.58956667253335</v>
      </c>
      <c r="AJ86" s="17">
        <v>182.47685820793833</v>
      </c>
      <c r="AK86" s="17">
        <v>194.37421436279649</v>
      </c>
      <c r="AL86" s="17">
        <v>198.14506070029921</v>
      </c>
      <c r="AM86" s="17">
        <v>162.47097960142474</v>
      </c>
      <c r="AN86" s="17">
        <v>133.24025432048776</v>
      </c>
      <c r="AO86" s="17">
        <v>124.58104370836502</v>
      </c>
      <c r="AP86" s="17">
        <v>107.78462088442339</v>
      </c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</row>
    <row r="87" spans="1:73" s="79" customFormat="1" x14ac:dyDescent="0.4">
      <c r="A87" s="38" t="s">
        <v>101</v>
      </c>
      <c r="B87" s="358" t="s">
        <v>48</v>
      </c>
      <c r="C87" s="20"/>
      <c r="D87" s="15" t="s">
        <v>24</v>
      </c>
      <c r="E87" s="14" t="s">
        <v>189</v>
      </c>
      <c r="F87" s="15"/>
      <c r="G87" s="16" t="str">
        <f t="shared" si="24"/>
        <v>Þús. tonn CO₂-íg. | kt CO₂e</v>
      </c>
      <c r="H87" s="78">
        <f>SUM(H88:H92)</f>
        <v>106.98282919875713</v>
      </c>
      <c r="I87" s="78">
        <f t="shared" ref="I87:AO87" si="25">SUM(I88:I92)</f>
        <v>101.53425700461094</v>
      </c>
      <c r="J87" s="78">
        <f t="shared" si="25"/>
        <v>93.986888774852815</v>
      </c>
      <c r="K87" s="78">
        <f t="shared" si="25"/>
        <v>89.98648148097314</v>
      </c>
      <c r="L87" s="78">
        <f t="shared" si="25"/>
        <v>87.624400511868359</v>
      </c>
      <c r="M87" s="78">
        <f t="shared" si="25"/>
        <v>86.881976484265564</v>
      </c>
      <c r="N87" s="78">
        <f t="shared" si="25"/>
        <v>97.145379856060842</v>
      </c>
      <c r="O87" s="78">
        <f t="shared" si="25"/>
        <v>94.850744994637552</v>
      </c>
      <c r="P87" s="78">
        <f t="shared" si="25"/>
        <v>98.411060316094705</v>
      </c>
      <c r="Q87" s="78">
        <f t="shared" si="25"/>
        <v>105.48878729307431</v>
      </c>
      <c r="R87" s="78">
        <f t="shared" si="25"/>
        <v>94.681610226020965</v>
      </c>
      <c r="S87" s="78">
        <f t="shared" si="25"/>
        <v>84.765376168745547</v>
      </c>
      <c r="T87" s="78">
        <f t="shared" si="25"/>
        <v>51.544701773358256</v>
      </c>
      <c r="U87" s="78">
        <f t="shared" si="25"/>
        <v>44.874906015207088</v>
      </c>
      <c r="V87" s="78">
        <f t="shared" si="25"/>
        <v>63.260685017486097</v>
      </c>
      <c r="W87" s="78">
        <f t="shared" si="25"/>
        <v>67.945132516839195</v>
      </c>
      <c r="X87" s="78">
        <f t="shared" si="25"/>
        <v>76.168470041185628</v>
      </c>
      <c r="Y87" s="78">
        <f t="shared" si="25"/>
        <v>78.498718900436586</v>
      </c>
      <c r="Z87" s="78">
        <f t="shared" si="25"/>
        <v>74.899356279563776</v>
      </c>
      <c r="AA87" s="78">
        <f t="shared" si="25"/>
        <v>39.918348124394434</v>
      </c>
      <c r="AB87" s="78">
        <f t="shared" si="25"/>
        <v>23.762714478735194</v>
      </c>
      <c r="AC87" s="78">
        <f t="shared" si="25"/>
        <v>32.17232764827893</v>
      </c>
      <c r="AD87" s="78">
        <f t="shared" si="25"/>
        <v>14.831953075040659</v>
      </c>
      <c r="AE87" s="78">
        <f t="shared" si="25"/>
        <v>12.19209830536991</v>
      </c>
      <c r="AF87" s="78">
        <f t="shared" si="25"/>
        <v>11.947734890379518</v>
      </c>
      <c r="AG87" s="78">
        <f t="shared" si="25"/>
        <v>11.174393080161671</v>
      </c>
      <c r="AH87" s="78">
        <f t="shared" si="25"/>
        <v>10.847019379627886</v>
      </c>
      <c r="AI87" s="78">
        <f t="shared" si="25"/>
        <v>11.452337027795512</v>
      </c>
      <c r="AJ87" s="78">
        <f t="shared" si="25"/>
        <v>13.750469813204139</v>
      </c>
      <c r="AK87" s="78">
        <f t="shared" si="25"/>
        <v>11.350282187672846</v>
      </c>
      <c r="AL87" s="78">
        <f t="shared" si="25"/>
        <v>12.346784341822016</v>
      </c>
      <c r="AM87" s="78">
        <f t="shared" si="25"/>
        <v>10.815320278100291</v>
      </c>
      <c r="AN87" s="78">
        <f t="shared" si="25"/>
        <v>10.910197865170513</v>
      </c>
      <c r="AO87" s="78">
        <f t="shared" si="25"/>
        <v>10.468875373262254</v>
      </c>
      <c r="AP87" s="78">
        <f>SUM(AP88:AP92)</f>
        <v>11.079378686252676</v>
      </c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</row>
    <row r="88" spans="1:73" s="62" customFormat="1" ht="15" x14ac:dyDescent="0.35">
      <c r="A88" s="38" t="s">
        <v>56</v>
      </c>
      <c r="B88" s="358" t="s">
        <v>48</v>
      </c>
      <c r="C88" s="80"/>
      <c r="D88" s="58" t="s">
        <v>228</v>
      </c>
      <c r="E88" s="81" t="s">
        <v>201</v>
      </c>
      <c r="F88" s="58"/>
      <c r="G88" s="60" t="str">
        <f t="shared" si="24"/>
        <v>Þús. tonn CO₂-íg. | kt CO₂e</v>
      </c>
      <c r="H88" s="61">
        <v>52.256339687250005</v>
      </c>
      <c r="I88" s="61">
        <v>48.627777945875003</v>
      </c>
      <c r="J88" s="61">
        <v>45.670125973500006</v>
      </c>
      <c r="K88" s="61">
        <v>39.654677162187504</v>
      </c>
      <c r="L88" s="61">
        <v>37.353068341500006</v>
      </c>
      <c r="M88" s="61">
        <v>37.842061164624994</v>
      </c>
      <c r="N88" s="61">
        <v>41.755640560312507</v>
      </c>
      <c r="O88" s="61">
        <v>46.51906850406251</v>
      </c>
      <c r="P88" s="61">
        <v>54.358745967250002</v>
      </c>
      <c r="Q88" s="61">
        <v>61.405246905937503</v>
      </c>
      <c r="R88" s="61">
        <v>65.449830021950021</v>
      </c>
      <c r="S88" s="61">
        <v>58.659445362750006</v>
      </c>
      <c r="T88" s="61">
        <v>39.313677956750006</v>
      </c>
      <c r="U88" s="61">
        <v>32.975809699750002</v>
      </c>
      <c r="V88" s="61">
        <v>50.813966560750004</v>
      </c>
      <c r="W88" s="61">
        <v>54.981288890000009</v>
      </c>
      <c r="X88" s="61">
        <v>62.168088455000003</v>
      </c>
      <c r="Y88" s="61">
        <v>64.331651867560012</v>
      </c>
      <c r="Z88" s="61">
        <v>61.804693555000007</v>
      </c>
      <c r="AA88" s="61">
        <v>28.685283075320005</v>
      </c>
      <c r="AB88" s="61">
        <v>10.399972692080002</v>
      </c>
      <c r="AC88" s="61">
        <v>20.143580462280003</v>
      </c>
      <c r="AD88" s="82">
        <v>0.50936247647999999</v>
      </c>
      <c r="AE88" s="82">
        <v>0.55272388644000003</v>
      </c>
      <c r="AF88" s="82">
        <v>0.54749451240000002</v>
      </c>
      <c r="AG88" s="82">
        <v>0.71654013156000007</v>
      </c>
      <c r="AH88" s="82">
        <v>0.77397152472000008</v>
      </c>
      <c r="AI88" s="82">
        <v>0.90232273404000007</v>
      </c>
      <c r="AJ88" s="82">
        <v>0.90521219079999993</v>
      </c>
      <c r="AK88" s="82">
        <v>0.95699099012000011</v>
      </c>
      <c r="AL88" s="82">
        <v>0.89499845720000004</v>
      </c>
      <c r="AM88" s="82">
        <v>9.6694179120000001E-2</v>
      </c>
      <c r="AN88" s="82">
        <v>0.93590011000000006</v>
      </c>
      <c r="AO88" s="82">
        <v>0.96926805625000012</v>
      </c>
      <c r="AP88" s="82">
        <v>0.92359119375000009</v>
      </c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</row>
    <row r="89" spans="1:73" s="62" customFormat="1" ht="15" x14ac:dyDescent="0.35">
      <c r="A89" s="38" t="s">
        <v>57</v>
      </c>
      <c r="B89" s="358" t="s">
        <v>48</v>
      </c>
      <c r="C89" s="80"/>
      <c r="D89" s="58" t="s">
        <v>229</v>
      </c>
      <c r="E89" s="81" t="s">
        <v>202</v>
      </c>
      <c r="F89" s="58"/>
      <c r="G89" s="60" t="str">
        <f t="shared" si="24"/>
        <v>Þús. tonn CO₂-íg. | kt CO₂e</v>
      </c>
      <c r="H89" s="61">
        <v>41.70030188679246</v>
      </c>
      <c r="I89" s="61">
        <v>40.327981132075472</v>
      </c>
      <c r="J89" s="61">
        <v>36.028622641509436</v>
      </c>
      <c r="K89" s="61">
        <v>37.871999999999993</v>
      </c>
      <c r="L89" s="61">
        <v>38.247415094339615</v>
      </c>
      <c r="M89" s="61">
        <v>36.495358490566034</v>
      </c>
      <c r="N89" s="61">
        <v>42.536811320754715</v>
      </c>
      <c r="O89" s="61">
        <v>35.574018867924522</v>
      </c>
      <c r="P89" s="61">
        <v>31.03041509433962</v>
      </c>
      <c r="Q89" s="61">
        <v>31.355952830188677</v>
      </c>
      <c r="R89" s="61">
        <v>16.333707547169812</v>
      </c>
      <c r="S89" s="61">
        <v>14.297971698113207</v>
      </c>
      <c r="T89" s="61">
        <v>0.45369811320754716</v>
      </c>
      <c r="U89" s="61">
        <v>0.47860377358490569</v>
      </c>
      <c r="V89" s="61">
        <v>0.38885584464161987</v>
      </c>
      <c r="W89" s="61">
        <v>0</v>
      </c>
      <c r="X89" s="61">
        <v>0</v>
      </c>
      <c r="Y89" s="61">
        <v>0</v>
      </c>
      <c r="Z89" s="61">
        <v>0</v>
      </c>
      <c r="AA89" s="61">
        <v>0</v>
      </c>
      <c r="AB89" s="61">
        <v>0</v>
      </c>
      <c r="AC89" s="61">
        <v>0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0</v>
      </c>
      <c r="AJ89" s="61">
        <v>0</v>
      </c>
      <c r="AK89" s="61">
        <v>0</v>
      </c>
      <c r="AL89" s="61">
        <v>0</v>
      </c>
      <c r="AM89" s="61">
        <v>0</v>
      </c>
      <c r="AN89" s="61">
        <v>0</v>
      </c>
      <c r="AO89" s="61">
        <v>0</v>
      </c>
      <c r="AP89" s="61">
        <v>0</v>
      </c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</row>
    <row r="90" spans="1:73" s="62" customFormat="1" ht="15" x14ac:dyDescent="0.35">
      <c r="A90" s="38" t="s">
        <v>224</v>
      </c>
      <c r="B90" s="358" t="s">
        <v>48</v>
      </c>
      <c r="C90" s="80"/>
      <c r="D90" s="58" t="s">
        <v>230</v>
      </c>
      <c r="E90" s="81" t="s">
        <v>235</v>
      </c>
      <c r="F90" s="58"/>
      <c r="G90" s="60" t="str">
        <f t="shared" si="24"/>
        <v>Þús. tonn CO₂-íg. | kt CO₂e</v>
      </c>
      <c r="H90" s="61">
        <v>0</v>
      </c>
      <c r="I90" s="61">
        <v>0</v>
      </c>
      <c r="J90" s="61">
        <v>0</v>
      </c>
      <c r="K90" s="61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61">
        <v>0</v>
      </c>
      <c r="R90" s="61">
        <v>0</v>
      </c>
      <c r="S90" s="61">
        <v>0</v>
      </c>
      <c r="T90" s="61">
        <v>0</v>
      </c>
      <c r="U90" s="61">
        <v>0</v>
      </c>
      <c r="V90" s="61">
        <v>0</v>
      </c>
      <c r="W90" s="61">
        <v>0</v>
      </c>
      <c r="X90" s="61">
        <v>0</v>
      </c>
      <c r="Y90" s="61">
        <v>0</v>
      </c>
      <c r="Z90" s="61">
        <v>0</v>
      </c>
      <c r="AA90" s="61">
        <v>0</v>
      </c>
      <c r="AB90" s="61">
        <v>0</v>
      </c>
      <c r="AC90" s="61">
        <v>0</v>
      </c>
      <c r="AD90" s="61">
        <v>0</v>
      </c>
      <c r="AE90" s="61">
        <v>0</v>
      </c>
      <c r="AF90" s="83">
        <v>0.83360000000000001</v>
      </c>
      <c r="AG90" s="83">
        <v>0.34439999999999998</v>
      </c>
      <c r="AH90" s="83">
        <v>0.60743999999999998</v>
      </c>
      <c r="AI90" s="61">
        <v>0</v>
      </c>
      <c r="AJ90" s="61">
        <v>0</v>
      </c>
      <c r="AK90" s="61">
        <v>0</v>
      </c>
      <c r="AL90" s="61">
        <v>0</v>
      </c>
      <c r="AM90" s="61">
        <v>0</v>
      </c>
      <c r="AN90" s="61">
        <v>0</v>
      </c>
      <c r="AO90" s="61">
        <v>0</v>
      </c>
      <c r="AP90" s="61">
        <v>0</v>
      </c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</row>
    <row r="91" spans="1:73" s="62" customFormat="1" ht="15" x14ac:dyDescent="0.35">
      <c r="A91" s="38" t="s">
        <v>59</v>
      </c>
      <c r="B91" s="358" t="s">
        <v>48</v>
      </c>
      <c r="C91" s="80"/>
      <c r="D91" s="58" t="s">
        <v>231</v>
      </c>
      <c r="E91" s="81" t="s">
        <v>203</v>
      </c>
      <c r="F91" s="58"/>
      <c r="G91" s="60" t="str">
        <f t="shared" si="24"/>
        <v>Þús. tonn CO₂-íg. | kt CO₂e</v>
      </c>
      <c r="H91" s="82">
        <v>6.8371637571829638</v>
      </c>
      <c r="I91" s="82">
        <v>6.6904228129190688</v>
      </c>
      <c r="J91" s="82">
        <v>6.8388386467464262</v>
      </c>
      <c r="K91" s="82">
        <v>7.0850882654362266</v>
      </c>
      <c r="L91" s="82">
        <v>7.0022498315998263</v>
      </c>
      <c r="M91" s="82">
        <v>7.5177866464346277</v>
      </c>
      <c r="N91" s="82">
        <v>7.4741643412466257</v>
      </c>
      <c r="O91" s="82">
        <v>7.3570582114085248</v>
      </c>
      <c r="P91" s="82">
        <v>7.4967373312974264</v>
      </c>
      <c r="Q91" s="82">
        <v>7.0464254444469923</v>
      </c>
      <c r="R91" s="82">
        <v>7.4178067334738964</v>
      </c>
      <c r="S91" s="82">
        <v>6.5217662131361305</v>
      </c>
      <c r="T91" s="82">
        <v>6.7594327136228234</v>
      </c>
      <c r="U91" s="82">
        <v>6.427574741879365</v>
      </c>
      <c r="V91" s="82">
        <v>7.2089115438226088</v>
      </c>
      <c r="W91" s="82">
        <v>6.9243765069421919</v>
      </c>
      <c r="X91" s="82">
        <v>7.6909621377876221</v>
      </c>
      <c r="Y91" s="82">
        <v>7.2109724048125727</v>
      </c>
      <c r="Z91" s="82">
        <v>6.4602257146107682</v>
      </c>
      <c r="AA91" s="82">
        <v>4.9920200690714305</v>
      </c>
      <c r="AB91" s="82">
        <v>5.2101643285811914</v>
      </c>
      <c r="AC91" s="82">
        <v>5.406885989183932</v>
      </c>
      <c r="AD91" s="82">
        <v>5.3587254951926582</v>
      </c>
      <c r="AE91" s="82">
        <v>5.3036207474462449</v>
      </c>
      <c r="AF91" s="82">
        <v>5.3713679614485192</v>
      </c>
      <c r="AG91" s="82">
        <v>5.7047203011631709</v>
      </c>
      <c r="AH91" s="82">
        <v>5.7859442998358865</v>
      </c>
      <c r="AI91" s="82">
        <v>5.6108220549305123</v>
      </c>
      <c r="AJ91" s="82">
        <v>6.2397242380571392</v>
      </c>
      <c r="AK91" s="82">
        <v>5.607629918827846</v>
      </c>
      <c r="AL91" s="82">
        <v>5.7375208307640166</v>
      </c>
      <c r="AM91" s="82">
        <v>5.7831388284817908</v>
      </c>
      <c r="AN91" s="82">
        <v>5.8692260620827641</v>
      </c>
      <c r="AO91" s="82">
        <v>5.7457905167263377</v>
      </c>
      <c r="AP91" s="82">
        <v>6.0069540240333632</v>
      </c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</row>
    <row r="92" spans="1:73" s="62" customFormat="1" ht="15" x14ac:dyDescent="0.35">
      <c r="A92" s="38" t="s">
        <v>61</v>
      </c>
      <c r="B92" s="358" t="s">
        <v>48</v>
      </c>
      <c r="C92" s="80"/>
      <c r="D92" s="58" t="s">
        <v>435</v>
      </c>
      <c r="E92" s="81" t="s">
        <v>434</v>
      </c>
      <c r="F92" s="58"/>
      <c r="G92" s="60" t="str">
        <f t="shared" si="24"/>
        <v>Þús. tonn CO₂-íg. | kt CO₂e</v>
      </c>
      <c r="H92" s="82">
        <v>6.1890238675317049</v>
      </c>
      <c r="I92" s="82">
        <v>5.8880751137413903</v>
      </c>
      <c r="J92" s="82">
        <v>5.4493015130969544</v>
      </c>
      <c r="K92" s="82">
        <v>5.3747160533494176</v>
      </c>
      <c r="L92" s="82">
        <v>5.0216672444289081</v>
      </c>
      <c r="M92" s="82">
        <v>5.0267701826399085</v>
      </c>
      <c r="N92" s="82">
        <v>5.3787636337470035</v>
      </c>
      <c r="O92" s="82">
        <v>5.4005994112420037</v>
      </c>
      <c r="P92" s="82">
        <v>5.5251619232076612</v>
      </c>
      <c r="Q92" s="82">
        <v>5.681162112501144</v>
      </c>
      <c r="R92" s="82">
        <v>5.4802659234272424</v>
      </c>
      <c r="S92" s="82">
        <v>5.2861928947462005</v>
      </c>
      <c r="T92" s="82">
        <v>5.0178929897778852</v>
      </c>
      <c r="U92" s="82">
        <v>4.9929177999928127</v>
      </c>
      <c r="V92" s="82">
        <v>4.8489510682718695</v>
      </c>
      <c r="W92" s="82">
        <v>6.039467119897</v>
      </c>
      <c r="X92" s="82">
        <v>6.3094194483980006</v>
      </c>
      <c r="Y92" s="82">
        <v>6.9560946280640001</v>
      </c>
      <c r="Z92" s="82">
        <v>6.6344370099529995</v>
      </c>
      <c r="AA92" s="82">
        <v>6.2410449800029992</v>
      </c>
      <c r="AB92" s="82">
        <v>8.1525774580740009</v>
      </c>
      <c r="AC92" s="82">
        <v>6.6218611968149999</v>
      </c>
      <c r="AD92" s="82">
        <v>8.9638651033680006</v>
      </c>
      <c r="AE92" s="82">
        <v>6.3357536714836664</v>
      </c>
      <c r="AF92" s="82">
        <v>5.1952724165309991</v>
      </c>
      <c r="AG92" s="82">
        <v>4.4087326474385007</v>
      </c>
      <c r="AH92" s="82">
        <v>3.679663555072</v>
      </c>
      <c r="AI92" s="82">
        <v>4.9391922388249991</v>
      </c>
      <c r="AJ92" s="82">
        <v>6.6055333843469999</v>
      </c>
      <c r="AK92" s="82">
        <v>4.7856612787250006</v>
      </c>
      <c r="AL92" s="82">
        <v>5.714265053858</v>
      </c>
      <c r="AM92" s="82">
        <v>4.9354872704985011</v>
      </c>
      <c r="AN92" s="82">
        <v>4.1050716930877487</v>
      </c>
      <c r="AO92" s="82">
        <v>3.7538168002859167</v>
      </c>
      <c r="AP92" s="82">
        <v>4.1488334684693129</v>
      </c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</row>
    <row r="93" spans="1:73" s="35" customFormat="1" x14ac:dyDescent="0.4">
      <c r="A93" s="38" t="s">
        <v>43</v>
      </c>
      <c r="B93" s="358" t="s">
        <v>48</v>
      </c>
      <c r="C93" s="13"/>
      <c r="D93" s="46" t="s">
        <v>135</v>
      </c>
      <c r="E93" s="21"/>
      <c r="F93" s="22"/>
      <c r="G93" s="23" t="str">
        <f t="shared" si="24"/>
        <v>Þús. tonn CO₂-íg. | kt CO₂e</v>
      </c>
      <c r="H93" s="24">
        <v>901.56402367622968</v>
      </c>
      <c r="I93" s="24">
        <v>790.24789736126775</v>
      </c>
      <c r="J93" s="24">
        <v>584.29723450972222</v>
      </c>
      <c r="K93" s="24">
        <v>550.93596124335056</v>
      </c>
      <c r="L93" s="24">
        <v>520.20637928426299</v>
      </c>
      <c r="M93" s="24">
        <v>552.34227245194143</v>
      </c>
      <c r="N93" s="24">
        <v>529.3976471121515</v>
      </c>
      <c r="O93" s="24">
        <v>648.28838839049433</v>
      </c>
      <c r="P93" s="24">
        <v>784.4634901474692</v>
      </c>
      <c r="Q93" s="24">
        <v>938.23694494330812</v>
      </c>
      <c r="R93" s="24">
        <v>991.04702286795407</v>
      </c>
      <c r="S93" s="24">
        <v>990.25888224548851</v>
      </c>
      <c r="T93" s="24">
        <v>978.21826331717614</v>
      </c>
      <c r="U93" s="24">
        <v>966.00744457100427</v>
      </c>
      <c r="V93" s="24">
        <v>974.1576779714494</v>
      </c>
      <c r="W93" s="24">
        <v>949.87119163297143</v>
      </c>
      <c r="X93" s="24">
        <v>1393.7102254839322</v>
      </c>
      <c r="Y93" s="24">
        <v>1537.748422328378</v>
      </c>
      <c r="Z93" s="24">
        <v>2049.2140459819293</v>
      </c>
      <c r="AA93" s="24">
        <v>1865.4743557470811</v>
      </c>
      <c r="AB93" s="24">
        <v>1894.8603861054207</v>
      </c>
      <c r="AC93" s="24">
        <v>1825.228373004406</v>
      </c>
      <c r="AD93" s="24">
        <v>1893.5019394946405</v>
      </c>
      <c r="AE93" s="24">
        <v>1941.8302209053631</v>
      </c>
      <c r="AF93" s="24">
        <v>1916.4213966986183</v>
      </c>
      <c r="AG93" s="24">
        <v>1965.0148909374132</v>
      </c>
      <c r="AH93" s="24">
        <v>1947.090250931831</v>
      </c>
      <c r="AI93" s="24">
        <v>1993.4228438831778</v>
      </c>
      <c r="AJ93" s="24">
        <v>2034.5392041778191</v>
      </c>
      <c r="AK93" s="24">
        <v>1986.4886421137151</v>
      </c>
      <c r="AL93" s="24">
        <v>1958.0535521024856</v>
      </c>
      <c r="AM93" s="24">
        <v>1994.8331613475439</v>
      </c>
      <c r="AN93" s="24">
        <v>2016.0715730620109</v>
      </c>
      <c r="AO93" s="24">
        <v>1945.9038654926317</v>
      </c>
      <c r="AP93" s="24">
        <v>2006.593431936052</v>
      </c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</row>
    <row r="94" spans="1:73" s="35" customFormat="1" x14ac:dyDescent="0.4">
      <c r="A94" s="38"/>
      <c r="B94" s="358"/>
      <c r="C94" s="13"/>
      <c r="D94" s="69"/>
      <c r="E94" s="68"/>
      <c r="F94" s="69"/>
      <c r="G94" s="37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</row>
    <row r="95" spans="1:73" s="117" customFormat="1" ht="36" customHeight="1" x14ac:dyDescent="0.4">
      <c r="A95" s="20"/>
      <c r="B95" s="1013" t="s">
        <v>48</v>
      </c>
      <c r="C95" s="5"/>
      <c r="D95" s="1016" t="s">
        <v>445</v>
      </c>
      <c r="E95" s="1016" t="s">
        <v>446</v>
      </c>
      <c r="F95" s="1016"/>
      <c r="G95" s="1016"/>
      <c r="H95" s="1014"/>
      <c r="I95" s="117" t="s">
        <v>48</v>
      </c>
      <c r="J95" s="111"/>
      <c r="K95" s="170"/>
      <c r="L95" s="63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015"/>
      <c r="AQ95" s="1015"/>
      <c r="AR95" s="1015"/>
      <c r="AS95" s="1015"/>
      <c r="AT95" s="1015"/>
      <c r="AU95" s="1015"/>
      <c r="AV95" s="1015"/>
      <c r="AW95" s="1015"/>
      <c r="AX95" s="1015"/>
      <c r="AY95" s="1015"/>
      <c r="AZ95" s="1015"/>
      <c r="BA95" s="1015"/>
      <c r="BB95" s="1015"/>
      <c r="BC95" s="1015"/>
      <c r="BD95" s="1015"/>
      <c r="BE95" s="1015"/>
      <c r="BF95" s="1015"/>
      <c r="BG95" s="1015"/>
      <c r="BH95" s="1015"/>
      <c r="BI95" s="1015"/>
      <c r="BJ95" s="1015"/>
      <c r="BK95" s="1015"/>
      <c r="BL95" s="1015"/>
      <c r="BM95" s="1015"/>
      <c r="BN95" s="1015"/>
      <c r="BO95" s="1015"/>
      <c r="BP95" s="1015"/>
      <c r="BQ95" s="1015"/>
      <c r="BR95" s="1015"/>
      <c r="BS95" s="1015"/>
      <c r="BT95" s="1015"/>
    </row>
    <row r="96" spans="1:73" s="31" customFormat="1" x14ac:dyDescent="0.4">
      <c r="A96" s="38" t="s">
        <v>58</v>
      </c>
      <c r="B96" s="9" t="str">
        <f>A96&amp;" WEM"</f>
        <v>2.C.3 Aluminium productionkt CO2-eq WEM</v>
      </c>
      <c r="C96" s="20" t="s">
        <v>48</v>
      </c>
      <c r="D96" s="15" t="s">
        <v>15</v>
      </c>
      <c r="E96" s="14" t="s">
        <v>155</v>
      </c>
      <c r="F96" s="15"/>
      <c r="G96" s="16" t="str">
        <f t="shared" ref="G96:G105" si="26">$G$5</f>
        <v>Þús. tonn CO₂-íg. | kt CO₂e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369"/>
      <c r="AP96" s="369">
        <f>AP84</f>
        <v>1360.4102725798757</v>
      </c>
      <c r="AQ96" s="78">
        <v>1403.4953819736136</v>
      </c>
      <c r="AR96" s="78">
        <v>1417.4348414194596</v>
      </c>
      <c r="AS96" s="78">
        <v>1421.8987938767966</v>
      </c>
      <c r="AT96" s="78">
        <v>1427.3233084237909</v>
      </c>
      <c r="AU96" s="78">
        <v>1426.833971619704</v>
      </c>
      <c r="AV96" s="78">
        <v>1427.1803369907875</v>
      </c>
      <c r="AW96" s="78">
        <v>1427.3520137399332</v>
      </c>
      <c r="AX96" s="78">
        <v>1428.4016514079547</v>
      </c>
      <c r="AY96" s="78">
        <v>1427.698379111016</v>
      </c>
      <c r="AZ96" s="78">
        <v>1427.8715617965577</v>
      </c>
      <c r="BA96" s="78">
        <v>1427.8715617965577</v>
      </c>
      <c r="BB96" s="78">
        <v>1432.9796980518365</v>
      </c>
      <c r="BC96" s="78">
        <v>1432.091195578188</v>
      </c>
      <c r="BD96" s="78">
        <v>1432.091195578188</v>
      </c>
      <c r="BE96" s="78">
        <v>1432.091195578188</v>
      </c>
      <c r="BF96" s="78">
        <v>1432.9796980518365</v>
      </c>
      <c r="BG96" s="78">
        <v>1432.091195578188</v>
      </c>
      <c r="BH96" s="78">
        <v>1432.091195578188</v>
      </c>
      <c r="BI96" s="78">
        <v>1432.091195578188</v>
      </c>
      <c r="BJ96" s="78">
        <v>1432.9796980518365</v>
      </c>
      <c r="BK96" s="78">
        <v>1432.091195578188</v>
      </c>
      <c r="BL96" s="78">
        <v>1432.091195578188</v>
      </c>
      <c r="BM96" s="78">
        <v>1432.091195578188</v>
      </c>
      <c r="BN96" s="78">
        <v>1432.9796980518365</v>
      </c>
      <c r="BO96" s="78">
        <v>1432.091195578188</v>
      </c>
      <c r="BP96" s="78">
        <v>1432.091195578188</v>
      </c>
      <c r="BQ96" s="78">
        <v>1432.091195578188</v>
      </c>
      <c r="BR96" s="78">
        <v>1432.9796980518365</v>
      </c>
      <c r="BS96" s="78">
        <v>1432.091195578188</v>
      </c>
      <c r="BT96" s="78">
        <v>1432.091195578188</v>
      </c>
      <c r="BU96" s="78">
        <v>1432.091195578188</v>
      </c>
    </row>
    <row r="97" spans="1:73" s="31" customFormat="1" x14ac:dyDescent="0.4">
      <c r="A97" s="38" t="s">
        <v>223</v>
      </c>
      <c r="B97" s="9" t="str">
        <f t="shared" ref="B97:B105" si="27">A97&amp;" WEM"</f>
        <v>2.C.2 Ferroalloys productionkt CO2-eq WEM</v>
      </c>
      <c r="C97" s="20" t="s">
        <v>48</v>
      </c>
      <c r="D97" s="15" t="s">
        <v>39</v>
      </c>
      <c r="E97" s="14" t="s">
        <v>156</v>
      </c>
      <c r="F97" s="15"/>
      <c r="G97" s="16" t="str">
        <f t="shared" si="26"/>
        <v>Þús. tonn CO₂-íg. | kt CO₂e</v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369"/>
      <c r="AP97" s="369">
        <f>AP85</f>
        <v>527.31915978550001</v>
      </c>
      <c r="AQ97" s="78">
        <v>401.70042445710789</v>
      </c>
      <c r="AR97" s="78">
        <v>508.18929433327838</v>
      </c>
      <c r="AS97" s="78">
        <v>503.18929433327838</v>
      </c>
      <c r="AT97" s="78">
        <v>498.18929433327838</v>
      </c>
      <c r="AU97" s="78">
        <v>498.18929433327838</v>
      </c>
      <c r="AV97" s="78">
        <v>498.18929433327838</v>
      </c>
      <c r="AW97" s="78">
        <v>498.18929433327838</v>
      </c>
      <c r="AX97" s="78">
        <v>498.18929433327838</v>
      </c>
      <c r="AY97" s="78">
        <v>498.18929433327838</v>
      </c>
      <c r="AZ97" s="78">
        <v>498.18929433327838</v>
      </c>
      <c r="BA97" s="78">
        <v>498.18929433327838</v>
      </c>
      <c r="BB97" s="78">
        <v>498.18929433327838</v>
      </c>
      <c r="BC97" s="78">
        <v>498.18929433327838</v>
      </c>
      <c r="BD97" s="78">
        <v>498.18929433327838</v>
      </c>
      <c r="BE97" s="78">
        <v>498.18929433327838</v>
      </c>
      <c r="BF97" s="78">
        <v>498.18929433327838</v>
      </c>
      <c r="BG97" s="78">
        <v>498.18929433327838</v>
      </c>
      <c r="BH97" s="78">
        <v>498.18929433327838</v>
      </c>
      <c r="BI97" s="78">
        <v>498.18929433327838</v>
      </c>
      <c r="BJ97" s="78">
        <v>498.18929433327838</v>
      </c>
      <c r="BK97" s="78">
        <v>498.18929433327838</v>
      </c>
      <c r="BL97" s="78">
        <v>498.18929433327838</v>
      </c>
      <c r="BM97" s="78">
        <v>498.18929433327838</v>
      </c>
      <c r="BN97" s="78">
        <v>498.18929433327838</v>
      </c>
      <c r="BO97" s="78">
        <v>498.18929433327838</v>
      </c>
      <c r="BP97" s="78">
        <v>498.18929433327838</v>
      </c>
      <c r="BQ97" s="78">
        <v>498.18929433327838</v>
      </c>
      <c r="BR97" s="78">
        <v>498.18929433327838</v>
      </c>
      <c r="BS97" s="78">
        <v>498.18929433327838</v>
      </c>
      <c r="BT97" s="78">
        <v>498.18929433327838</v>
      </c>
      <c r="BU97" s="78">
        <v>498.18929433327838</v>
      </c>
    </row>
    <row r="98" spans="1:73" s="31" customFormat="1" x14ac:dyDescent="0.4">
      <c r="A98" s="38" t="s">
        <v>60</v>
      </c>
      <c r="B98" s="9" t="str">
        <f t="shared" si="27"/>
        <v>2.F Product uses as substitutes for ODSkt CO2-eq WEM</v>
      </c>
      <c r="C98" s="20" t="s">
        <v>48</v>
      </c>
      <c r="D98" s="15" t="s">
        <v>16</v>
      </c>
      <c r="E98" s="14" t="s">
        <v>137</v>
      </c>
      <c r="F98" s="15"/>
      <c r="G98" s="16" t="str">
        <f t="shared" si="26"/>
        <v>Þús. tonn CO₂-íg. | kt CO₂e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369"/>
      <c r="AP98" s="369">
        <f>AP86</f>
        <v>107.78462088442339</v>
      </c>
      <c r="AQ98" s="78">
        <v>105.72187170220855</v>
      </c>
      <c r="AR98" s="78">
        <v>83.823690084904044</v>
      </c>
      <c r="AS98" s="78">
        <v>89.442091059791849</v>
      </c>
      <c r="AT98" s="78">
        <v>43.518935760946661</v>
      </c>
      <c r="AU98" s="78">
        <v>28.783740596521415</v>
      </c>
      <c r="AV98" s="78">
        <v>35.288143061420499</v>
      </c>
      <c r="AW98" s="78">
        <v>17.53591620382366</v>
      </c>
      <c r="AX98" s="78">
        <v>18.352437165829741</v>
      </c>
      <c r="AY98" s="78">
        <v>25.087127810230314</v>
      </c>
      <c r="AZ98" s="78">
        <v>14.704833954835724</v>
      </c>
      <c r="BA98" s="78">
        <v>9.3934027406685683</v>
      </c>
      <c r="BB98" s="78">
        <v>9.9895174804926654</v>
      </c>
      <c r="BC98" s="78">
        <v>10.358330959147878</v>
      </c>
      <c r="BD98" s="78">
        <v>10.25895007901676</v>
      </c>
      <c r="BE98" s="78">
        <v>10.660310913905738</v>
      </c>
      <c r="BF98" s="78">
        <v>10.993776002891989</v>
      </c>
      <c r="BG98" s="78">
        <v>11.563570640339021</v>
      </c>
      <c r="BH98" s="78">
        <v>11.640349097474523</v>
      </c>
      <c r="BI98" s="78">
        <v>11.70012970754571</v>
      </c>
      <c r="BJ98" s="78">
        <v>11.753187736759976</v>
      </c>
      <c r="BK98" s="78">
        <v>11.800243616819975</v>
      </c>
      <c r="BL98" s="78">
        <v>11.940971953978671</v>
      </c>
      <c r="BM98" s="78">
        <v>12.240845835968981</v>
      </c>
      <c r="BN98" s="78">
        <v>11.986792162915226</v>
      </c>
      <c r="BO98" s="78">
        <v>11.867739498494641</v>
      </c>
      <c r="BP98" s="78">
        <v>11.859076026944861</v>
      </c>
      <c r="BQ98" s="78">
        <v>11.689526803657612</v>
      </c>
      <c r="BR98" s="78">
        <v>11.544615909658173</v>
      </c>
      <c r="BS98" s="78">
        <v>11.444189380191771</v>
      </c>
      <c r="BT98" s="78">
        <v>11.399306843005277</v>
      </c>
      <c r="BU98" s="78">
        <v>11.395571652176223</v>
      </c>
    </row>
    <row r="99" spans="1:73" s="79" customFormat="1" x14ac:dyDescent="0.4">
      <c r="A99" s="38" t="s">
        <v>101</v>
      </c>
      <c r="B99" s="9" t="str">
        <f t="shared" si="27"/>
        <v>2 IPPU OTHER kt CO2e WEM</v>
      </c>
      <c r="C99" s="20" t="s">
        <v>48</v>
      </c>
      <c r="D99" s="15" t="s">
        <v>24</v>
      </c>
      <c r="E99" s="14" t="s">
        <v>189</v>
      </c>
      <c r="F99" s="15"/>
      <c r="G99" s="16" t="str">
        <f t="shared" si="26"/>
        <v>Þús. tonn CO₂-íg. | kt CO₂e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369"/>
      <c r="AP99" s="369">
        <f>AP87</f>
        <v>11.079378686252676</v>
      </c>
      <c r="AQ99" s="78">
        <f t="shared" ref="AQ99:BU99" si="28">SUM(AQ100:AQ104)</f>
        <v>11.151435375399261</v>
      </c>
      <c r="AR99" s="78">
        <f t="shared" si="28"/>
        <v>11.132113040844736</v>
      </c>
      <c r="AS99" s="78">
        <f t="shared" si="28"/>
        <v>11.115856720430433</v>
      </c>
      <c r="AT99" s="78">
        <f t="shared" si="28"/>
        <v>11.090891667931968</v>
      </c>
      <c r="AU99" s="78">
        <f t="shared" si="28"/>
        <v>11.05763032738297</v>
      </c>
      <c r="AV99" s="78">
        <f t="shared" si="28"/>
        <v>11.015410927687761</v>
      </c>
      <c r="AW99" s="78">
        <f t="shared" si="28"/>
        <v>10.960130769641854</v>
      </c>
      <c r="AX99" s="78">
        <f t="shared" si="28"/>
        <v>10.89865816065265</v>
      </c>
      <c r="AY99" s="78">
        <f t="shared" si="28"/>
        <v>10.830797985426774</v>
      </c>
      <c r="AZ99" s="78">
        <f t="shared" si="28"/>
        <v>10.757340349625236</v>
      </c>
      <c r="BA99" s="78">
        <f t="shared" si="28"/>
        <v>10.665646430656345</v>
      </c>
      <c r="BB99" s="78">
        <f t="shared" si="28"/>
        <v>10.572461568295374</v>
      </c>
      <c r="BC99" s="78">
        <f t="shared" si="28"/>
        <v>10.478660578269007</v>
      </c>
      <c r="BD99" s="78">
        <f t="shared" si="28"/>
        <v>10.386920593587476</v>
      </c>
      <c r="BE99" s="78">
        <f t="shared" si="28"/>
        <v>10.327991876246827</v>
      </c>
      <c r="BF99" s="78">
        <f t="shared" si="28"/>
        <v>10.321635464971481</v>
      </c>
      <c r="BG99" s="78">
        <f t="shared" si="28"/>
        <v>10.315472452873014</v>
      </c>
      <c r="BH99" s="78">
        <f t="shared" si="28"/>
        <v>10.309525290197037</v>
      </c>
      <c r="BI99" s="78">
        <f t="shared" si="28"/>
        <v>10.303756816629605</v>
      </c>
      <c r="BJ99" s="78">
        <f t="shared" si="28"/>
        <v>10.298177247897286</v>
      </c>
      <c r="BK99" s="78">
        <f t="shared" si="28"/>
        <v>10.292793377650607</v>
      </c>
      <c r="BL99" s="78">
        <f t="shared" si="28"/>
        <v>10.28762478388256</v>
      </c>
      <c r="BM99" s="78">
        <f t="shared" si="28"/>
        <v>10.282680048852047</v>
      </c>
      <c r="BN99" s="78">
        <f t="shared" si="28"/>
        <v>10.277939463371746</v>
      </c>
      <c r="BO99" s="78">
        <f t="shared" si="28"/>
        <v>10.27339608990733</v>
      </c>
      <c r="BP99" s="78">
        <f t="shared" si="28"/>
        <v>10.269077372831505</v>
      </c>
      <c r="BQ99" s="78">
        <f t="shared" si="28"/>
        <v>10.264983533504285</v>
      </c>
      <c r="BR99" s="78">
        <f t="shared" si="28"/>
        <v>10.261122149295195</v>
      </c>
      <c r="BS99" s="78">
        <f t="shared" si="28"/>
        <v>10.257491938969174</v>
      </c>
      <c r="BT99" s="78">
        <f t="shared" si="28"/>
        <v>10.254093566103901</v>
      </c>
      <c r="BU99" s="78">
        <f t="shared" si="28"/>
        <v>7.8520707599451089</v>
      </c>
    </row>
    <row r="100" spans="1:73" s="62" customFormat="1" ht="15" x14ac:dyDescent="0.35">
      <c r="A100" s="38" t="s">
        <v>56</v>
      </c>
      <c r="B100" s="9" t="str">
        <f t="shared" si="27"/>
        <v>2.A Mineral Industrykt CO2-eq WEM</v>
      </c>
      <c r="C100" s="20" t="s">
        <v>48</v>
      </c>
      <c r="D100" s="58" t="s">
        <v>228</v>
      </c>
      <c r="E100" s="81" t="s">
        <v>201</v>
      </c>
      <c r="F100" s="58"/>
      <c r="G100" s="60" t="str">
        <f t="shared" si="26"/>
        <v>Þús. tonn CO₂-íg. | kt CO₂e</v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369"/>
      <c r="AP100" s="369">
        <f>AP88</f>
        <v>0.92359119375000009</v>
      </c>
      <c r="AQ100" s="193">
        <v>0.89930233461681208</v>
      </c>
      <c r="AR100" s="193">
        <v>0.89930233461681208</v>
      </c>
      <c r="AS100" s="193">
        <v>0.89930233461681208</v>
      </c>
      <c r="AT100" s="193">
        <v>0.89930233461681208</v>
      </c>
      <c r="AU100" s="193">
        <v>0.89930233461681208</v>
      </c>
      <c r="AV100" s="193">
        <v>0.89930233461681208</v>
      </c>
      <c r="AW100" s="193">
        <v>0.89930233461681208</v>
      </c>
      <c r="AX100" s="193">
        <v>0.89930233461681208</v>
      </c>
      <c r="AY100" s="193">
        <v>0.89930233461681208</v>
      </c>
      <c r="AZ100" s="193">
        <v>0.89930233461681208</v>
      </c>
      <c r="BA100" s="193">
        <v>0.89930233461681208</v>
      </c>
      <c r="BB100" s="193">
        <v>0.89930233461681208</v>
      </c>
      <c r="BC100" s="193">
        <v>0.89930233461681208</v>
      </c>
      <c r="BD100" s="193">
        <v>0.89930233461681208</v>
      </c>
      <c r="BE100" s="193">
        <v>0.89930233461681208</v>
      </c>
      <c r="BF100" s="193">
        <v>0.89930233461681208</v>
      </c>
      <c r="BG100" s="193">
        <v>0.89930233461681208</v>
      </c>
      <c r="BH100" s="193">
        <v>0.89930233461681208</v>
      </c>
      <c r="BI100" s="193">
        <v>0.89930233461681208</v>
      </c>
      <c r="BJ100" s="193">
        <v>0.89930233461681208</v>
      </c>
      <c r="BK100" s="193">
        <v>0.89930233461681208</v>
      </c>
      <c r="BL100" s="193">
        <v>0.89930233461681208</v>
      </c>
      <c r="BM100" s="193">
        <v>0.89930233461681208</v>
      </c>
      <c r="BN100" s="193">
        <v>0.89930233461681208</v>
      </c>
      <c r="BO100" s="193">
        <v>0.89930233461681208</v>
      </c>
      <c r="BP100" s="193">
        <v>0.89930233461681208</v>
      </c>
      <c r="BQ100" s="193">
        <v>0.89930233461681208</v>
      </c>
      <c r="BR100" s="193">
        <v>0.89930233461681208</v>
      </c>
      <c r="BS100" s="193">
        <v>0.89930233461681208</v>
      </c>
      <c r="BT100" s="193">
        <v>0.89930233461681208</v>
      </c>
      <c r="BU100" s="193">
        <v>0.89930233461681208</v>
      </c>
    </row>
    <row r="101" spans="1:73" s="62" customFormat="1" ht="15" x14ac:dyDescent="0.35">
      <c r="A101" s="38" t="s">
        <v>57</v>
      </c>
      <c r="B101" s="9" t="str">
        <f t="shared" si="27"/>
        <v>2.B Chemical Industrykt CO2-eq WEM</v>
      </c>
      <c r="C101" s="20" t="s">
        <v>48</v>
      </c>
      <c r="D101" s="58" t="s">
        <v>229</v>
      </c>
      <c r="E101" s="81" t="s">
        <v>202</v>
      </c>
      <c r="F101" s="58"/>
      <c r="G101" s="60" t="str">
        <f t="shared" si="26"/>
        <v>Þús. tonn CO₂-íg. | kt CO₂e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369"/>
      <c r="AP101" s="369"/>
      <c r="AQ101" s="189">
        <v>0</v>
      </c>
      <c r="AR101" s="189">
        <v>0</v>
      </c>
      <c r="AS101" s="189">
        <v>0</v>
      </c>
      <c r="AT101" s="189">
        <v>0</v>
      </c>
      <c r="AU101" s="189">
        <v>0</v>
      </c>
      <c r="AV101" s="189">
        <v>0</v>
      </c>
      <c r="AW101" s="189">
        <v>0</v>
      </c>
      <c r="AX101" s="189">
        <v>0</v>
      </c>
      <c r="AY101" s="189">
        <v>0</v>
      </c>
      <c r="AZ101" s="189">
        <v>0</v>
      </c>
      <c r="BA101" s="189">
        <v>0</v>
      </c>
      <c r="BB101" s="189">
        <v>0</v>
      </c>
      <c r="BC101" s="189">
        <v>0</v>
      </c>
      <c r="BD101" s="189">
        <v>0</v>
      </c>
      <c r="BE101" s="189">
        <v>0</v>
      </c>
      <c r="BF101" s="189">
        <v>0</v>
      </c>
      <c r="BG101" s="189">
        <v>0</v>
      </c>
      <c r="BH101" s="189">
        <v>0</v>
      </c>
      <c r="BI101" s="189">
        <v>0</v>
      </c>
      <c r="BJ101" s="189">
        <v>0</v>
      </c>
      <c r="BK101" s="189">
        <v>0</v>
      </c>
      <c r="BL101" s="189">
        <v>0</v>
      </c>
      <c r="BM101" s="189">
        <v>0</v>
      </c>
      <c r="BN101" s="189">
        <v>0</v>
      </c>
      <c r="BO101" s="189">
        <v>0</v>
      </c>
      <c r="BP101" s="189">
        <v>0</v>
      </c>
      <c r="BQ101" s="189">
        <v>0</v>
      </c>
      <c r="BR101" s="189">
        <v>0</v>
      </c>
      <c r="BS101" s="189">
        <v>0</v>
      </c>
      <c r="BT101" s="189">
        <v>0</v>
      </c>
      <c r="BU101" s="189">
        <v>0</v>
      </c>
    </row>
    <row r="102" spans="1:73" s="62" customFormat="1" ht="15" x14ac:dyDescent="0.35">
      <c r="A102" s="38" t="s">
        <v>224</v>
      </c>
      <c r="B102" s="9" t="str">
        <f t="shared" si="27"/>
        <v>2.C.1 Iron and Steel productionkt CO2-eq WEM</v>
      </c>
      <c r="C102" s="20" t="s">
        <v>48</v>
      </c>
      <c r="D102" s="58" t="s">
        <v>230</v>
      </c>
      <c r="E102" s="81" t="s">
        <v>235</v>
      </c>
      <c r="F102" s="58"/>
      <c r="G102" s="60" t="str">
        <f t="shared" si="26"/>
        <v>Þús. tonn CO₂-íg. | kt CO₂e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369"/>
      <c r="AP102" s="369"/>
      <c r="AQ102" s="189">
        <v>0</v>
      </c>
      <c r="AR102" s="189">
        <v>0</v>
      </c>
      <c r="AS102" s="189">
        <v>0</v>
      </c>
      <c r="AT102" s="189">
        <v>0</v>
      </c>
      <c r="AU102" s="189">
        <v>0</v>
      </c>
      <c r="AV102" s="189">
        <v>0</v>
      </c>
      <c r="AW102" s="189">
        <v>0</v>
      </c>
      <c r="AX102" s="189">
        <v>0</v>
      </c>
      <c r="AY102" s="189">
        <v>0</v>
      </c>
      <c r="AZ102" s="189">
        <v>0</v>
      </c>
      <c r="BA102" s="189">
        <v>0</v>
      </c>
      <c r="BB102" s="189">
        <v>0</v>
      </c>
      <c r="BC102" s="189">
        <v>0</v>
      </c>
      <c r="BD102" s="189">
        <v>0</v>
      </c>
      <c r="BE102" s="189">
        <v>0</v>
      </c>
      <c r="BF102" s="189">
        <v>0</v>
      </c>
      <c r="BG102" s="189">
        <v>0</v>
      </c>
      <c r="BH102" s="189">
        <v>0</v>
      </c>
      <c r="BI102" s="189">
        <v>0</v>
      </c>
      <c r="BJ102" s="189">
        <v>0</v>
      </c>
      <c r="BK102" s="189">
        <v>0</v>
      </c>
      <c r="BL102" s="189">
        <v>0</v>
      </c>
      <c r="BM102" s="189">
        <v>0</v>
      </c>
      <c r="BN102" s="189">
        <v>0</v>
      </c>
      <c r="BO102" s="189">
        <v>0</v>
      </c>
      <c r="BP102" s="189">
        <v>0</v>
      </c>
      <c r="BQ102" s="189">
        <v>0</v>
      </c>
      <c r="BR102" s="189">
        <v>0</v>
      </c>
      <c r="BS102" s="189">
        <v>0</v>
      </c>
      <c r="BT102" s="189">
        <v>0</v>
      </c>
      <c r="BU102" s="189">
        <v>0</v>
      </c>
    </row>
    <row r="103" spans="1:73" s="62" customFormat="1" ht="15" x14ac:dyDescent="0.35">
      <c r="A103" s="38" t="s">
        <v>59</v>
      </c>
      <c r="B103" s="9" t="str">
        <f t="shared" si="27"/>
        <v>2.D non-energy products from fuels and solvent usekt CO2-eq WEM</v>
      </c>
      <c r="C103" s="20" t="s">
        <v>48</v>
      </c>
      <c r="D103" s="58" t="s">
        <v>231</v>
      </c>
      <c r="E103" s="81" t="s">
        <v>203</v>
      </c>
      <c r="F103" s="58"/>
      <c r="G103" s="60" t="str">
        <f t="shared" si="26"/>
        <v>Þús. tonn CO₂-íg. | kt CO₂e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369"/>
      <c r="AP103" s="369">
        <f>AP91</f>
        <v>6.0069540240333632</v>
      </c>
      <c r="AQ103" s="192">
        <v>5.6713501552562349</v>
      </c>
      <c r="AR103" s="192">
        <v>5.6407711611474323</v>
      </c>
      <c r="AS103" s="192">
        <v>5.6165855249813195</v>
      </c>
      <c r="AT103" s="192">
        <v>5.5836932466654181</v>
      </c>
      <c r="AU103" s="192">
        <v>5.5423847553598522</v>
      </c>
      <c r="AV103" s="192">
        <v>5.4918824914812205</v>
      </c>
      <c r="AW103" s="192">
        <v>5.4282733867238182</v>
      </c>
      <c r="AX103" s="192">
        <v>5.3584305883159651</v>
      </c>
      <c r="AY103" s="192">
        <v>5.2821839565328279</v>
      </c>
      <c r="AZ103" s="192">
        <v>5.2003485956644013</v>
      </c>
      <c r="BA103" s="192">
        <v>5.1002888431223274</v>
      </c>
      <c r="BB103" s="192">
        <v>4.9987575958737978</v>
      </c>
      <c r="BC103" s="192">
        <v>4.8966599893397458</v>
      </c>
      <c r="BD103" s="192">
        <v>4.79620104487657</v>
      </c>
      <c r="BE103" s="192">
        <v>4.7278579647937571</v>
      </c>
      <c r="BF103" s="192">
        <v>4.7121484998654317</v>
      </c>
      <c r="BG103" s="192">
        <v>4.6967163025050711</v>
      </c>
      <c r="BH103" s="192">
        <v>4.6815661847943328</v>
      </c>
      <c r="BI103" s="192">
        <v>4.6666914760822884</v>
      </c>
      <c r="BJ103" s="192">
        <v>4.652094434871703</v>
      </c>
      <c r="BK103" s="192">
        <v>4.637776552981058</v>
      </c>
      <c r="BL103" s="192">
        <v>4.6237416452331361</v>
      </c>
      <c r="BM103" s="192">
        <v>4.6099913091390246</v>
      </c>
      <c r="BN103" s="192">
        <v>4.5965216219360538</v>
      </c>
      <c r="BO103" s="192">
        <v>4.5833309734256105</v>
      </c>
      <c r="BP103" s="192">
        <v>4.5704241869533071</v>
      </c>
      <c r="BQ103" s="192">
        <v>4.5578007617018788</v>
      </c>
      <c r="BR103" s="192">
        <v>4.5454614684115677</v>
      </c>
      <c r="BS103" s="192">
        <v>4.5334052529486257</v>
      </c>
      <c r="BT103" s="192">
        <v>4.5216312953887554</v>
      </c>
      <c r="BU103" s="192">
        <v>4.5101383883542834</v>
      </c>
    </row>
    <row r="104" spans="1:73" s="62" customFormat="1" ht="15" x14ac:dyDescent="0.35">
      <c r="A104" s="38" t="s">
        <v>61</v>
      </c>
      <c r="B104" s="9" t="str">
        <f t="shared" si="27"/>
        <v>2.G Other product manufacture and usekt CO2-eq WEM</v>
      </c>
      <c r="C104" s="20" t="s">
        <v>48</v>
      </c>
      <c r="D104" s="58" t="s">
        <v>435</v>
      </c>
      <c r="E104" s="81" t="s">
        <v>434</v>
      </c>
      <c r="F104" s="58"/>
      <c r="G104" s="60" t="str">
        <f t="shared" si="26"/>
        <v>Þús. tonn CO₂-íg. | kt CO₂e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369"/>
      <c r="AP104" s="369">
        <f>AP92</f>
        <v>4.1488334684693129</v>
      </c>
      <c r="AQ104" s="192">
        <v>4.5807828855262143</v>
      </c>
      <c r="AR104" s="192">
        <v>4.5920395450804916</v>
      </c>
      <c r="AS104" s="192">
        <v>4.5999688608323002</v>
      </c>
      <c r="AT104" s="192">
        <v>4.6078960866497383</v>
      </c>
      <c r="AU104" s="192">
        <v>4.6159432374063059</v>
      </c>
      <c r="AV104" s="192">
        <v>4.6242261015897279</v>
      </c>
      <c r="AW104" s="192">
        <v>4.6325550483012234</v>
      </c>
      <c r="AX104" s="192">
        <v>4.6409252377198724</v>
      </c>
      <c r="AY104" s="192">
        <v>4.6493116942771335</v>
      </c>
      <c r="AZ104" s="192">
        <v>4.657689419344023</v>
      </c>
      <c r="BA104" s="192">
        <v>4.6660552529172064</v>
      </c>
      <c r="BB104" s="192">
        <v>4.6744016378047641</v>
      </c>
      <c r="BC104" s="192">
        <v>4.6826982543124487</v>
      </c>
      <c r="BD104" s="192">
        <v>4.691417214094094</v>
      </c>
      <c r="BE104" s="192">
        <v>4.7008315768362587</v>
      </c>
      <c r="BF104" s="192">
        <v>4.7101846304892367</v>
      </c>
      <c r="BG104" s="192">
        <v>4.7194538157511303</v>
      </c>
      <c r="BH104" s="192">
        <v>4.7286567707858929</v>
      </c>
      <c r="BI104" s="192">
        <v>4.7377630059305034</v>
      </c>
      <c r="BJ104" s="192">
        <v>4.7467804784087697</v>
      </c>
      <c r="BK104" s="192">
        <v>4.7557144900527373</v>
      </c>
      <c r="BL104" s="192">
        <v>4.7645808040326125</v>
      </c>
      <c r="BM104" s="192">
        <v>4.7733864050962111</v>
      </c>
      <c r="BN104" s="192">
        <v>4.7821155068188803</v>
      </c>
      <c r="BO104" s="192">
        <v>4.7907627818649061</v>
      </c>
      <c r="BP104" s="192">
        <v>4.7993508512613863</v>
      </c>
      <c r="BQ104" s="192">
        <v>4.8078804371855934</v>
      </c>
      <c r="BR104" s="192">
        <v>4.8163583462668154</v>
      </c>
      <c r="BS104" s="192">
        <v>4.8247843514037374</v>
      </c>
      <c r="BT104" s="192">
        <v>4.8331599360983342</v>
      </c>
      <c r="BU104" s="192">
        <v>2.442630036974013</v>
      </c>
    </row>
    <row r="105" spans="1:73" s="35" customFormat="1" x14ac:dyDescent="0.4">
      <c r="A105" s="378" t="s">
        <v>43</v>
      </c>
      <c r="B105" s="379" t="str">
        <f t="shared" si="27"/>
        <v>2. Industrial processes and product usekt CO2-eq WEM</v>
      </c>
      <c r="C105" s="13" t="s">
        <v>48</v>
      </c>
      <c r="D105" s="46" t="s">
        <v>135</v>
      </c>
      <c r="E105" s="21"/>
      <c r="F105" s="22"/>
      <c r="G105" s="23" t="str">
        <f t="shared" si="26"/>
        <v>Þús. tonn CO₂-íg. | kt CO₂e</v>
      </c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69"/>
      <c r="AP105" s="369">
        <f>AP93</f>
        <v>2006.593431936052</v>
      </c>
      <c r="AQ105" s="187">
        <v>1922.0691135083291</v>
      </c>
      <c r="AR105" s="187">
        <v>2020.5799388784869</v>
      </c>
      <c r="AS105" s="187">
        <v>2025.6460359902974</v>
      </c>
      <c r="AT105" s="187">
        <v>1980.1224301859481</v>
      </c>
      <c r="AU105" s="187">
        <v>1964.8646368768868</v>
      </c>
      <c r="AV105" s="187">
        <v>1971.6731853131741</v>
      </c>
      <c r="AW105" s="187">
        <v>1954.037355046677</v>
      </c>
      <c r="AX105" s="187">
        <v>1955.8420410677154</v>
      </c>
      <c r="AY105" s="187">
        <v>1961.8055992399518</v>
      </c>
      <c r="AZ105" s="187">
        <v>1951.523030434297</v>
      </c>
      <c r="BA105" s="187">
        <v>1946.119905301161</v>
      </c>
      <c r="BB105" s="187">
        <v>1951.7309714339028</v>
      </c>
      <c r="BC105" s="187">
        <v>1951.1174814488834</v>
      </c>
      <c r="BD105" s="187">
        <v>1950.9263605840708</v>
      </c>
      <c r="BE105" s="187">
        <v>1951.2687927016188</v>
      </c>
      <c r="BF105" s="187">
        <v>1952.4844038529784</v>
      </c>
      <c r="BG105" s="187">
        <v>1952.1595330046787</v>
      </c>
      <c r="BH105" s="187">
        <v>1952.2303642991378</v>
      </c>
      <c r="BI105" s="187">
        <v>1952.2843764356417</v>
      </c>
      <c r="BJ105" s="187">
        <v>1953.2203573697723</v>
      </c>
      <c r="BK105" s="187">
        <v>1952.3735269059368</v>
      </c>
      <c r="BL105" s="187">
        <v>1952.5090866493279</v>
      </c>
      <c r="BM105" s="187">
        <v>1952.8040157962876</v>
      </c>
      <c r="BN105" s="187">
        <v>1953.4337240114019</v>
      </c>
      <c r="BO105" s="187">
        <v>1952.4216254998682</v>
      </c>
      <c r="BP105" s="187">
        <v>1952.4086433112427</v>
      </c>
      <c r="BQ105" s="187">
        <v>1952.2350002486282</v>
      </c>
      <c r="BR105" s="187">
        <v>1952.9747304440682</v>
      </c>
      <c r="BS105" s="187">
        <v>1951.9821712306273</v>
      </c>
      <c r="BT105" s="187">
        <v>1951.9338903205755</v>
      </c>
      <c r="BU105" s="187">
        <v>1949.5281323235877</v>
      </c>
    </row>
    <row r="107" spans="1:73" s="300" customFormat="1" ht="42.6" customHeight="1" x14ac:dyDescent="0.75">
      <c r="A107" s="289"/>
      <c r="B107" s="289"/>
      <c r="C107" s="289"/>
      <c r="D107" s="290" t="s">
        <v>243</v>
      </c>
      <c r="E107" s="291"/>
      <c r="F107" s="292"/>
      <c r="G107" s="298"/>
      <c r="H107" s="86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299"/>
      <c r="AM107" s="299"/>
      <c r="AN107" s="299"/>
      <c r="AO107" s="299"/>
    </row>
    <row r="108" spans="1:73" s="322" customFormat="1" ht="37.200000000000003" customHeight="1" x14ac:dyDescent="0.4">
      <c r="A108" s="320"/>
      <c r="B108" s="320"/>
      <c r="C108" s="320"/>
      <c r="D108" s="258"/>
      <c r="E108" s="196"/>
      <c r="F108" s="196"/>
      <c r="G108" s="85"/>
      <c r="H108" s="259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1"/>
      <c r="AT108" s="321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21"/>
      <c r="BE108" s="321"/>
      <c r="BF108" s="321"/>
      <c r="BG108" s="321"/>
      <c r="BH108" s="321"/>
      <c r="BI108" s="321"/>
      <c r="BJ108" s="321"/>
      <c r="BK108" s="321"/>
      <c r="BL108" s="321"/>
      <c r="BM108" s="321"/>
      <c r="BN108" s="321"/>
      <c r="BO108" s="321"/>
      <c r="BP108" s="321"/>
      <c r="BQ108" s="321"/>
      <c r="BR108" s="321"/>
      <c r="BS108" s="321"/>
      <c r="BT108" s="321"/>
      <c r="BU108" s="321"/>
    </row>
    <row r="109" spans="1:73" s="8" customFormat="1" ht="24" customHeight="1" x14ac:dyDescent="0.4">
      <c r="A109" s="4"/>
      <c r="B109" s="358" t="s">
        <v>48</v>
      </c>
      <c r="C109" s="5"/>
      <c r="D109" s="87" t="str">
        <f>$D$4</f>
        <v>Söguleg losun</v>
      </c>
      <c r="E109" s="87" t="s">
        <v>398</v>
      </c>
      <c r="F109" s="87"/>
      <c r="G109" s="87"/>
      <c r="H109" s="7"/>
      <c r="I109" s="8" t="s">
        <v>48</v>
      </c>
      <c r="J109" s="9"/>
      <c r="K109" s="10"/>
      <c r="L109" s="11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</row>
    <row r="110" spans="1:73" s="31" customFormat="1" x14ac:dyDescent="0.4">
      <c r="A110" s="38" t="s">
        <v>62</v>
      </c>
      <c r="B110" s="358" t="s">
        <v>48</v>
      </c>
      <c r="C110" s="20"/>
      <c r="D110" s="15" t="s">
        <v>17</v>
      </c>
      <c r="E110" s="14" t="s">
        <v>185</v>
      </c>
      <c r="F110" s="15"/>
      <c r="G110" s="16" t="str">
        <f t="shared" ref="G110:G117" si="29">$G$5</f>
        <v>Þús. tonn CO₂-íg. | kt CO₂e</v>
      </c>
      <c r="H110" s="17">
        <v>344.76729922777042</v>
      </c>
      <c r="I110" s="17">
        <v>334.42149114354777</v>
      </c>
      <c r="J110" s="17">
        <v>327.0974119478584</v>
      </c>
      <c r="K110" s="17">
        <v>325.25745562093977</v>
      </c>
      <c r="L110" s="17">
        <v>326.15644775592432</v>
      </c>
      <c r="M110" s="17">
        <v>313.0514956371091</v>
      </c>
      <c r="N110" s="17">
        <v>316.7318398003631</v>
      </c>
      <c r="O110" s="17">
        <v>314.36537354893841</v>
      </c>
      <c r="P110" s="17">
        <v>321.34980213366219</v>
      </c>
      <c r="Q110" s="17">
        <v>317.84194111346875</v>
      </c>
      <c r="R110" s="17">
        <v>305.89138314939942</v>
      </c>
      <c r="S110" s="17">
        <v>306.32970981714448</v>
      </c>
      <c r="T110" s="17">
        <v>300.18209152391069</v>
      </c>
      <c r="U110" s="17">
        <v>295.96674844980299</v>
      </c>
      <c r="V110" s="17">
        <v>291.04119938030942</v>
      </c>
      <c r="W110" s="17">
        <v>292.87597401640483</v>
      </c>
      <c r="X110" s="17">
        <v>299.53366917070326</v>
      </c>
      <c r="Y110" s="17">
        <v>305.27616496834196</v>
      </c>
      <c r="Z110" s="17">
        <v>309.09566643194574</v>
      </c>
      <c r="AA110" s="17">
        <v>314.45569697355177</v>
      </c>
      <c r="AB110" s="17">
        <v>314.25746730806884</v>
      </c>
      <c r="AC110" s="17">
        <v>313.35001418029367</v>
      </c>
      <c r="AD110" s="17">
        <v>306.91767907143662</v>
      </c>
      <c r="AE110" s="17">
        <v>301.3612830414985</v>
      </c>
      <c r="AF110" s="17">
        <v>318.96239212611943</v>
      </c>
      <c r="AG110" s="17">
        <v>322.65238326913516</v>
      </c>
      <c r="AH110" s="17">
        <v>325.39501589376511</v>
      </c>
      <c r="AI110" s="17">
        <v>319.31008804503927</v>
      </c>
      <c r="AJ110" s="17">
        <v>310.89315926224873</v>
      </c>
      <c r="AK110" s="17">
        <v>301.70932246309843</v>
      </c>
      <c r="AL110" s="17">
        <v>296.66841775421017</v>
      </c>
      <c r="AM110" s="17">
        <v>295.51609641722348</v>
      </c>
      <c r="AN110" s="17">
        <v>291.50849278227417</v>
      </c>
      <c r="AO110" s="17">
        <v>284.98986073643078</v>
      </c>
      <c r="AP110" s="17">
        <v>275.28975195546064</v>
      </c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</row>
    <row r="111" spans="1:73" s="31" customFormat="1" x14ac:dyDescent="0.4">
      <c r="A111" s="38" t="s">
        <v>63</v>
      </c>
      <c r="B111" s="358" t="s">
        <v>48</v>
      </c>
      <c r="C111" s="20"/>
      <c r="D111" s="15" t="s">
        <v>18</v>
      </c>
      <c r="E111" s="14" t="s">
        <v>186</v>
      </c>
      <c r="F111" s="15"/>
      <c r="G111" s="16" t="str">
        <f t="shared" si="29"/>
        <v>Þús. tonn CO₂-íg. | kt CO₂e</v>
      </c>
      <c r="H111" s="17">
        <v>81.873752925978877</v>
      </c>
      <c r="I111" s="17">
        <v>79.237439678694074</v>
      </c>
      <c r="J111" s="17">
        <v>75.777546002740905</v>
      </c>
      <c r="K111" s="17">
        <v>75.267210480381863</v>
      </c>
      <c r="L111" s="17">
        <v>74.628306271469654</v>
      </c>
      <c r="M111" s="17">
        <v>72.724732622321611</v>
      </c>
      <c r="N111" s="17">
        <v>73.27428695940273</v>
      </c>
      <c r="O111" s="17">
        <v>72.183609229076168</v>
      </c>
      <c r="P111" s="17">
        <v>74.647459271330149</v>
      </c>
      <c r="Q111" s="17">
        <v>72.963277431275571</v>
      </c>
      <c r="R111" s="17">
        <v>71.706187973877974</v>
      </c>
      <c r="S111" s="17">
        <v>72.84929451998336</v>
      </c>
      <c r="T111" s="17">
        <v>70.658775659389804</v>
      </c>
      <c r="U111" s="17">
        <v>68.990818019628165</v>
      </c>
      <c r="V111" s="17">
        <v>67.897703295394848</v>
      </c>
      <c r="W111" s="17">
        <v>68.573919041770765</v>
      </c>
      <c r="X111" s="17">
        <v>72.685758471421764</v>
      </c>
      <c r="Y111" s="17">
        <v>74.671232503612572</v>
      </c>
      <c r="Z111" s="17">
        <v>75.03183791330369</v>
      </c>
      <c r="AA111" s="17">
        <v>75.290213738557995</v>
      </c>
      <c r="AB111" s="17">
        <v>72.80683455788639</v>
      </c>
      <c r="AC111" s="17">
        <v>73.734686001348052</v>
      </c>
      <c r="AD111" s="17">
        <v>69.041939043831704</v>
      </c>
      <c r="AE111" s="17">
        <v>67.670747053736662</v>
      </c>
      <c r="AF111" s="17">
        <v>72.488895284947503</v>
      </c>
      <c r="AG111" s="17">
        <v>74.677308315751162</v>
      </c>
      <c r="AH111" s="17">
        <v>74.766773204166753</v>
      </c>
      <c r="AI111" s="17">
        <v>73.841527147627147</v>
      </c>
      <c r="AJ111" s="17">
        <v>71.367751743655688</v>
      </c>
      <c r="AK111" s="17">
        <v>69.85168610686469</v>
      </c>
      <c r="AL111" s="17">
        <v>68.659459144631356</v>
      </c>
      <c r="AM111" s="17">
        <v>69.265891232066906</v>
      </c>
      <c r="AN111" s="17">
        <v>69.978666662227624</v>
      </c>
      <c r="AO111" s="17">
        <v>67.072913287334075</v>
      </c>
      <c r="AP111" s="17">
        <v>65.110184810742581</v>
      </c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</row>
    <row r="112" spans="1:73" s="31" customFormat="1" x14ac:dyDescent="0.4">
      <c r="A112" s="38" t="s">
        <v>64</v>
      </c>
      <c r="B112" s="358" t="s">
        <v>48</v>
      </c>
      <c r="C112" s="20"/>
      <c r="D112" s="15" t="s">
        <v>19</v>
      </c>
      <c r="E112" s="14" t="s">
        <v>187</v>
      </c>
      <c r="F112" s="15"/>
      <c r="G112" s="16" t="str">
        <f t="shared" si="29"/>
        <v>Þús. tonn CO₂-íg. | kt CO₂e</v>
      </c>
      <c r="H112" s="17">
        <v>279.10672336631393</v>
      </c>
      <c r="I112" s="17">
        <v>283.33464139112095</v>
      </c>
      <c r="J112" s="17">
        <v>281.01461157260712</v>
      </c>
      <c r="K112" s="17">
        <v>286.94806278541097</v>
      </c>
      <c r="L112" s="17">
        <v>294.95435574502022</v>
      </c>
      <c r="M112" s="17">
        <v>292.21158506575927</v>
      </c>
      <c r="N112" s="17">
        <v>302.46545500998877</v>
      </c>
      <c r="O112" s="17">
        <v>301.51059695180044</v>
      </c>
      <c r="P112" s="17">
        <v>308.41610059421515</v>
      </c>
      <c r="Q112" s="17">
        <v>313.68503236180572</v>
      </c>
      <c r="R112" s="17">
        <v>313.3534027022701</v>
      </c>
      <c r="S112" s="17">
        <v>313.38735999648674</v>
      </c>
      <c r="T112" s="17">
        <v>307.78466578324912</v>
      </c>
      <c r="U112" s="17">
        <v>305.88729129273287</v>
      </c>
      <c r="V112" s="17">
        <v>309.34851965580015</v>
      </c>
      <c r="W112" s="17">
        <v>310.37369744156211</v>
      </c>
      <c r="X112" s="17">
        <v>326.13436093180786</v>
      </c>
      <c r="Y112" s="17">
        <v>335.48376384155807</v>
      </c>
      <c r="Z112" s="17">
        <v>344.10688510186696</v>
      </c>
      <c r="AA112" s="17">
        <v>328.28045618864144</v>
      </c>
      <c r="AB112" s="17">
        <v>322.25825550780723</v>
      </c>
      <c r="AC112" s="17">
        <v>321.06176006768953</v>
      </c>
      <c r="AD112" s="17">
        <v>326.11417359676324</v>
      </c>
      <c r="AE112" s="17">
        <v>325.82986507810625</v>
      </c>
      <c r="AF112" s="17">
        <v>344.60306332374989</v>
      </c>
      <c r="AG112" s="17">
        <v>331.16451506694096</v>
      </c>
      <c r="AH112" s="17">
        <v>327.86499888936441</v>
      </c>
      <c r="AI112" s="17">
        <v>338.43248144177835</v>
      </c>
      <c r="AJ112" s="17">
        <v>329.52894263074268</v>
      </c>
      <c r="AK112" s="17">
        <v>322.39255259241293</v>
      </c>
      <c r="AL112" s="17">
        <v>326.88035192545715</v>
      </c>
      <c r="AM112" s="17">
        <v>332.16656803644645</v>
      </c>
      <c r="AN112" s="17">
        <v>326.89003759212176</v>
      </c>
      <c r="AO112" s="17">
        <v>315.48633413473226</v>
      </c>
      <c r="AP112" s="17">
        <v>322.41304134971909</v>
      </c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</row>
    <row r="113" spans="1:73" s="31" customFormat="1" x14ac:dyDescent="0.4">
      <c r="A113" s="38" t="s">
        <v>102</v>
      </c>
      <c r="B113" s="358" t="s">
        <v>48</v>
      </c>
      <c r="C113" s="20"/>
      <c r="D113" s="15" t="s">
        <v>244</v>
      </c>
      <c r="E113" s="14" t="s">
        <v>245</v>
      </c>
      <c r="F113" s="15"/>
      <c r="G113" s="16" t="str">
        <f t="shared" si="29"/>
        <v>Þús. tonn CO₂-íg. | kt CO₂e</v>
      </c>
      <c r="H113" s="88">
        <f>SUM(H114:H116)</f>
        <v>2.3099999999999999E-2</v>
      </c>
      <c r="I113" s="88">
        <f t="shared" ref="I113:AO113" si="30">SUM(I114:I116)</f>
        <v>9.2492400000000006E-3</v>
      </c>
      <c r="J113" s="89">
        <f t="shared" si="30"/>
        <v>3.2451320000000006E-2</v>
      </c>
      <c r="K113" s="89">
        <f t="shared" si="30"/>
        <v>2.2004839999999998E-2</v>
      </c>
      <c r="L113" s="88">
        <f t="shared" si="30"/>
        <v>8.7999999999999988E-3</v>
      </c>
      <c r="M113" s="77">
        <f t="shared" si="30"/>
        <v>2.4369458069135801</v>
      </c>
      <c r="N113" s="77">
        <f t="shared" si="30"/>
        <v>2.6508298965432116</v>
      </c>
      <c r="O113" s="77">
        <f t="shared" si="30"/>
        <v>2.5593616019753092</v>
      </c>
      <c r="P113" s="77">
        <f t="shared" si="30"/>
        <v>2.5464230488888897</v>
      </c>
      <c r="Q113" s="77">
        <f t="shared" si="30"/>
        <v>2.7616834585185188</v>
      </c>
      <c r="R113" s="77">
        <f t="shared" si="30"/>
        <v>2.7621307511111111</v>
      </c>
      <c r="S113" s="77">
        <f t="shared" si="30"/>
        <v>2.6959684128395072</v>
      </c>
      <c r="T113" s="77">
        <f t="shared" si="30"/>
        <v>2.4154087303703711</v>
      </c>
      <c r="U113" s="77">
        <f t="shared" si="30"/>
        <v>4.6716002340740737</v>
      </c>
      <c r="V113" s="77">
        <f t="shared" si="30"/>
        <v>4.779621988641976</v>
      </c>
      <c r="W113" s="77">
        <f t="shared" si="30"/>
        <v>4.5326526558024689</v>
      </c>
      <c r="X113" s="77">
        <f t="shared" si="30"/>
        <v>4.4245318740740744</v>
      </c>
      <c r="Y113" s="77">
        <f t="shared" si="30"/>
        <v>4.0608959424240698</v>
      </c>
      <c r="Z113" s="77">
        <f t="shared" si="30"/>
        <v>7.018974987308642</v>
      </c>
      <c r="AA113" s="77">
        <f t="shared" si="30"/>
        <v>5.7231211653054324</v>
      </c>
      <c r="AB113" s="77">
        <f t="shared" si="30"/>
        <v>3.9240493654879156</v>
      </c>
      <c r="AC113" s="77">
        <f t="shared" si="30"/>
        <v>3.8604387342252178</v>
      </c>
      <c r="AD113" s="77">
        <f t="shared" si="30"/>
        <v>4.3461636798697336</v>
      </c>
      <c r="AE113" s="77">
        <f t="shared" si="30"/>
        <v>4.2496171206617328</v>
      </c>
      <c r="AF113" s="77">
        <f t="shared" si="30"/>
        <v>3.8235346704818998</v>
      </c>
      <c r="AG113" s="77">
        <f t="shared" si="30"/>
        <v>3.1879780904602395</v>
      </c>
      <c r="AH113" s="77">
        <f t="shared" si="30"/>
        <v>3.5947477408061999</v>
      </c>
      <c r="AI113" s="77">
        <f t="shared" si="30"/>
        <v>4.3042845621201256</v>
      </c>
      <c r="AJ113" s="77">
        <f t="shared" si="30"/>
        <v>4.3779642122447004</v>
      </c>
      <c r="AK113" s="77">
        <f t="shared" si="30"/>
        <v>7.7702475984696928</v>
      </c>
      <c r="AL113" s="77">
        <f t="shared" si="30"/>
        <v>6.9639210183801863</v>
      </c>
      <c r="AM113" s="77">
        <f t="shared" si="30"/>
        <v>6.8296036834116673</v>
      </c>
      <c r="AN113" s="77">
        <f t="shared" si="30"/>
        <v>6.0207733042920673</v>
      </c>
      <c r="AO113" s="77">
        <f t="shared" si="30"/>
        <v>8.0763127900833513</v>
      </c>
      <c r="AP113" s="77">
        <f>SUM(AP114:AP116)</f>
        <v>6.7861665253922112</v>
      </c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</row>
    <row r="114" spans="1:73" s="91" customFormat="1" ht="15" x14ac:dyDescent="0.35">
      <c r="A114" s="38" t="s">
        <v>65</v>
      </c>
      <c r="B114" s="359" t="s">
        <v>48</v>
      </c>
      <c r="C114" s="80"/>
      <c r="D114" s="58" t="s">
        <v>113</v>
      </c>
      <c r="E114" s="81" t="s">
        <v>142</v>
      </c>
      <c r="F114" s="58"/>
      <c r="G114" s="60" t="str">
        <f t="shared" si="29"/>
        <v>Þús. tonn CO₂-íg. | kt CO₂e</v>
      </c>
      <c r="H114" s="90">
        <v>2.3099999999999999E-2</v>
      </c>
      <c r="I114" s="90">
        <v>9.2492400000000006E-3</v>
      </c>
      <c r="J114" s="90">
        <v>3.2451320000000006E-2</v>
      </c>
      <c r="K114" s="90">
        <v>2.2004839999999998E-2</v>
      </c>
      <c r="L114" s="90">
        <v>8.7999999999999988E-3</v>
      </c>
      <c r="M114" s="90">
        <v>3.0799999999999997E-6</v>
      </c>
      <c r="N114" s="90">
        <v>1.7356020000000714E-2</v>
      </c>
      <c r="O114" s="90">
        <v>3.4708959999999997E-2</v>
      </c>
      <c r="P114" s="90">
        <v>6.1599999999999995E-6</v>
      </c>
      <c r="Q114" s="90">
        <v>1.1063800000000992E-3</v>
      </c>
      <c r="R114" s="90">
        <v>2.2065999999999995E-3</v>
      </c>
      <c r="S114" s="90">
        <v>1.11936E-3</v>
      </c>
      <c r="T114" s="90">
        <v>2.8419599999999993E-3</v>
      </c>
      <c r="U114" s="90">
        <v>2.4203065333333327</v>
      </c>
      <c r="V114" s="90">
        <v>2.6251791866666663</v>
      </c>
      <c r="W114" s="90">
        <v>2.4051975199999998</v>
      </c>
      <c r="X114" s="90">
        <v>1.73838852</v>
      </c>
      <c r="Y114" s="90">
        <v>1.0369714762512297</v>
      </c>
      <c r="Z114" s="90">
        <v>3.6735925942222227</v>
      </c>
      <c r="AA114" s="90">
        <v>3.0739770309844445</v>
      </c>
      <c r="AB114" s="90">
        <v>1.8583262646666665</v>
      </c>
      <c r="AC114" s="90">
        <v>1.9271194561666667</v>
      </c>
      <c r="AD114" s="90">
        <v>1.7916920999999999</v>
      </c>
      <c r="AE114" s="90">
        <v>1.8863734999999999</v>
      </c>
      <c r="AF114" s="90">
        <v>1.6110500266666667</v>
      </c>
      <c r="AG114" s="90">
        <v>1.3453975333333332</v>
      </c>
      <c r="AH114" s="90">
        <v>1.2491211333333334</v>
      </c>
      <c r="AI114" s="90">
        <v>1.5897757333333333</v>
      </c>
      <c r="AJ114" s="90">
        <v>1.7315657333333334</v>
      </c>
      <c r="AK114" s="90">
        <v>2.2879114133333331</v>
      </c>
      <c r="AL114" s="90">
        <v>3.5554273333333333</v>
      </c>
      <c r="AM114" s="90">
        <v>3.5400694266666668</v>
      </c>
      <c r="AN114" s="90">
        <v>2.8859085200000001</v>
      </c>
      <c r="AO114" s="90">
        <v>4.9082017233333328</v>
      </c>
      <c r="AP114" s="90">
        <v>3.5993053800000001</v>
      </c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</row>
    <row r="115" spans="1:73" s="91" customFormat="1" ht="15" x14ac:dyDescent="0.35">
      <c r="A115" s="38" t="s">
        <v>88</v>
      </c>
      <c r="B115" s="359" t="s">
        <v>48</v>
      </c>
      <c r="C115" s="80"/>
      <c r="D115" s="58" t="s">
        <v>112</v>
      </c>
      <c r="E115" s="81" t="s">
        <v>143</v>
      </c>
      <c r="F115" s="58"/>
      <c r="G115" s="60" t="str">
        <f t="shared" si="29"/>
        <v>Þús. tonn CO₂-íg. | kt CO₂e</v>
      </c>
      <c r="H115" s="90">
        <v>0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6.6000000000000008E-3</v>
      </c>
      <c r="AG115" s="90">
        <v>6.6000000000000008E-3</v>
      </c>
      <c r="AH115" s="90">
        <v>0.3888133333333334</v>
      </c>
      <c r="AI115" s="90">
        <v>0.67158666666666655</v>
      </c>
      <c r="AJ115" s="90">
        <v>0.80886666666666673</v>
      </c>
      <c r="AK115" s="90">
        <v>3.1538393333333334</v>
      </c>
      <c r="AL115" s="90">
        <v>1.5742649999999998</v>
      </c>
      <c r="AM115" s="90">
        <v>1.3679600000000001</v>
      </c>
      <c r="AN115" s="90">
        <v>1.6001333333333332</v>
      </c>
      <c r="AO115" s="90">
        <v>1.8259450000000002</v>
      </c>
      <c r="AP115" s="90">
        <v>2.0446946666666665</v>
      </c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</row>
    <row r="116" spans="1:73" s="91" customFormat="1" ht="15" x14ac:dyDescent="0.35">
      <c r="A116" s="38" t="s">
        <v>89</v>
      </c>
      <c r="B116" s="359" t="s">
        <v>48</v>
      </c>
      <c r="C116" s="80"/>
      <c r="D116" s="58" t="s">
        <v>114</v>
      </c>
      <c r="E116" s="81" t="s">
        <v>144</v>
      </c>
      <c r="F116" s="58"/>
      <c r="G116" s="60" t="str">
        <f t="shared" si="29"/>
        <v>Þús. tonn CO₂-íg. | kt CO₂e</v>
      </c>
      <c r="H116" s="90">
        <v>0</v>
      </c>
      <c r="I116" s="90">
        <v>0</v>
      </c>
      <c r="J116" s="90">
        <v>0</v>
      </c>
      <c r="K116" s="90">
        <v>0</v>
      </c>
      <c r="L116" s="90">
        <v>0</v>
      </c>
      <c r="M116" s="90">
        <v>2.4369427269135802</v>
      </c>
      <c r="N116" s="90">
        <v>2.6334738765432109</v>
      </c>
      <c r="O116" s="90">
        <v>2.524652641975309</v>
      </c>
      <c r="P116" s="90">
        <v>2.5464168888888898</v>
      </c>
      <c r="Q116" s="90">
        <v>2.7605770785185189</v>
      </c>
      <c r="R116" s="90">
        <v>2.759924151111111</v>
      </c>
      <c r="S116" s="90">
        <v>2.694849052839507</v>
      </c>
      <c r="T116" s="90">
        <v>2.412566770370371</v>
      </c>
      <c r="U116" s="90">
        <v>2.2512937007407414</v>
      </c>
      <c r="V116" s="90">
        <v>2.1544428019753092</v>
      </c>
      <c r="W116" s="90">
        <v>2.1274551358024691</v>
      </c>
      <c r="X116" s="90">
        <v>2.6861433540740745</v>
      </c>
      <c r="Y116" s="90">
        <v>3.0239244661728399</v>
      </c>
      <c r="Z116" s="90">
        <v>3.3453823930864197</v>
      </c>
      <c r="AA116" s="90">
        <v>2.6491441343209883</v>
      </c>
      <c r="AB116" s="90">
        <v>2.0657231008212489</v>
      </c>
      <c r="AC116" s="90">
        <v>1.9333192780585513</v>
      </c>
      <c r="AD116" s="90">
        <v>2.5544715798697335</v>
      </c>
      <c r="AE116" s="90">
        <v>2.3632436206617329</v>
      </c>
      <c r="AF116" s="90">
        <v>2.2058846438152333</v>
      </c>
      <c r="AG116" s="90">
        <v>1.8359805571269066</v>
      </c>
      <c r="AH116" s="90">
        <v>1.956813274139533</v>
      </c>
      <c r="AI116" s="90">
        <v>2.0429221621201252</v>
      </c>
      <c r="AJ116" s="90">
        <v>1.8375318122447</v>
      </c>
      <c r="AK116" s="90">
        <v>2.3284968518030262</v>
      </c>
      <c r="AL116" s="90">
        <v>1.8342286850468534</v>
      </c>
      <c r="AM116" s="90">
        <v>1.9215742567450005</v>
      </c>
      <c r="AN116" s="90">
        <v>1.5347314509587344</v>
      </c>
      <c r="AO116" s="90">
        <v>1.3421660667500181</v>
      </c>
      <c r="AP116" s="90">
        <v>1.1421664787255437</v>
      </c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</row>
    <row r="117" spans="1:73" s="35" customFormat="1" x14ac:dyDescent="0.4">
      <c r="A117" s="38" t="s">
        <v>44</v>
      </c>
      <c r="B117" s="358" t="s">
        <v>48</v>
      </c>
      <c r="C117" s="13"/>
      <c r="D117" s="46" t="s">
        <v>135</v>
      </c>
      <c r="E117" s="21"/>
      <c r="F117" s="22"/>
      <c r="G117" s="23" t="str">
        <f t="shared" si="29"/>
        <v>Þús. tonn CO₂-íg. | kt CO₂e</v>
      </c>
      <c r="H117" s="24">
        <v>705.77087552006321</v>
      </c>
      <c r="I117" s="24">
        <v>697.0028214533628</v>
      </c>
      <c r="J117" s="24">
        <v>683.92202084320638</v>
      </c>
      <c r="K117" s="24">
        <v>687.49473372673253</v>
      </c>
      <c r="L117" s="24">
        <v>695.74790977241412</v>
      </c>
      <c r="M117" s="24">
        <v>680.42475913210365</v>
      </c>
      <c r="N117" s="24">
        <v>695.12241166629781</v>
      </c>
      <c r="O117" s="24">
        <v>690.61894133179032</v>
      </c>
      <c r="P117" s="24">
        <v>706.95978504809636</v>
      </c>
      <c r="Q117" s="24">
        <v>707.25193436506856</v>
      </c>
      <c r="R117" s="24">
        <v>693.71310457665857</v>
      </c>
      <c r="S117" s="24">
        <v>695.26233274645392</v>
      </c>
      <c r="T117" s="24">
        <v>681.04094169691996</v>
      </c>
      <c r="U117" s="24">
        <v>675.51645799623816</v>
      </c>
      <c r="V117" s="24">
        <v>673.06704432014635</v>
      </c>
      <c r="W117" s="24">
        <v>676.35624315554026</v>
      </c>
      <c r="X117" s="24">
        <v>702.77832044800687</v>
      </c>
      <c r="Y117" s="24">
        <v>719.49205725593663</v>
      </c>
      <c r="Z117" s="24">
        <v>735.25336443442507</v>
      </c>
      <c r="AA117" s="24">
        <v>723.74948806605664</v>
      </c>
      <c r="AB117" s="24">
        <v>713.24660673925041</v>
      </c>
      <c r="AC117" s="24">
        <v>712.00689898355654</v>
      </c>
      <c r="AD117" s="24">
        <v>706.41995539190134</v>
      </c>
      <c r="AE117" s="24">
        <v>699.11151229400309</v>
      </c>
      <c r="AF117" s="24">
        <v>739.8778854052988</v>
      </c>
      <c r="AG117" s="24">
        <v>731.68218474228752</v>
      </c>
      <c r="AH117" s="24">
        <v>731.62153572810257</v>
      </c>
      <c r="AI117" s="24">
        <v>735.88838119656498</v>
      </c>
      <c r="AJ117" s="24">
        <v>716.16781784889179</v>
      </c>
      <c r="AK117" s="24">
        <v>701.7238087608456</v>
      </c>
      <c r="AL117" s="24">
        <v>699.17214984267878</v>
      </c>
      <c r="AM117" s="24">
        <v>703.77815936914863</v>
      </c>
      <c r="AN117" s="24">
        <v>694.39797034091566</v>
      </c>
      <c r="AO117" s="24">
        <v>675.62542094858054</v>
      </c>
      <c r="AP117" s="24">
        <v>669.59914464131464</v>
      </c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</row>
    <row r="118" spans="1:73" s="35" customFormat="1" x14ac:dyDescent="0.4">
      <c r="A118" s="38"/>
      <c r="B118" s="358"/>
      <c r="C118" s="13"/>
      <c r="D118" s="69"/>
      <c r="E118" s="68"/>
      <c r="F118" s="69"/>
      <c r="G118" s="37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</row>
    <row r="119" spans="1:73" s="8" customFormat="1" ht="36" customHeight="1" x14ac:dyDescent="0.4">
      <c r="A119" s="4"/>
      <c r="B119" s="358" t="s">
        <v>48</v>
      </c>
      <c r="C119" s="5"/>
      <c r="D119" s="1020" t="s">
        <v>445</v>
      </c>
      <c r="E119" s="1020" t="s">
        <v>446</v>
      </c>
      <c r="F119" s="185"/>
      <c r="G119" s="185"/>
      <c r="H119" s="7"/>
      <c r="I119" s="8" t="s">
        <v>48</v>
      </c>
      <c r="J119" s="9"/>
      <c r="K119" s="10"/>
      <c r="L119" s="11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</row>
    <row r="120" spans="1:73" s="31" customFormat="1" x14ac:dyDescent="0.4">
      <c r="A120" s="38" t="s">
        <v>62</v>
      </c>
      <c r="B120" s="9" t="str">
        <f>A120&amp;" WEM"</f>
        <v>3.A Enteric fermentationkt CO2-eq WEM</v>
      </c>
      <c r="C120" s="20" t="s">
        <v>48</v>
      </c>
      <c r="D120" s="15" t="s">
        <v>17</v>
      </c>
      <c r="E120" s="14" t="s">
        <v>185</v>
      </c>
      <c r="F120" s="15"/>
      <c r="G120" s="16" t="str">
        <f t="shared" ref="G120:G127" si="31">$G$5</f>
        <v>Þús. tonn CO₂-íg. | kt CO₂e</v>
      </c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78">
        <v>274.84445953004632</v>
      </c>
      <c r="AR120" s="78">
        <v>273.99074723084362</v>
      </c>
      <c r="AS120" s="78">
        <v>272.70177561823527</v>
      </c>
      <c r="AT120" s="78">
        <v>271.45460246432589</v>
      </c>
      <c r="AU120" s="78">
        <v>270.15299999724027</v>
      </c>
      <c r="AV120" s="78">
        <v>268.89319581985922</v>
      </c>
      <c r="AW120" s="78">
        <v>267.57896217269592</v>
      </c>
      <c r="AX120" s="78">
        <v>266.30652667010963</v>
      </c>
      <c r="AY120" s="78">
        <v>264.97966156324929</v>
      </c>
      <c r="AZ120" s="78">
        <v>263.6945944763296</v>
      </c>
      <c r="BA120" s="78">
        <v>262.35509766963162</v>
      </c>
      <c r="BB120" s="78">
        <v>261.05739877583193</v>
      </c>
      <c r="BC120" s="78">
        <v>259.70527006305247</v>
      </c>
      <c r="BD120" s="78">
        <v>258.39493917123565</v>
      </c>
      <c r="BE120" s="78">
        <v>257.03017837523629</v>
      </c>
      <c r="BF120" s="78">
        <v>255.70721532123551</v>
      </c>
      <c r="BG120" s="78">
        <v>254.32982228986955</v>
      </c>
      <c r="BH120" s="78">
        <v>252.99422693267709</v>
      </c>
      <c r="BI120" s="78">
        <v>251.60420153525871</v>
      </c>
      <c r="BJ120" s="78">
        <v>250.25597375375378</v>
      </c>
      <c r="BK120" s="78">
        <v>248.85331587802622</v>
      </c>
      <c r="BL120" s="78">
        <v>247.49245556816606</v>
      </c>
      <c r="BM120" s="78">
        <v>246.07716511769866</v>
      </c>
      <c r="BN120" s="78">
        <v>244.70367219010703</v>
      </c>
      <c r="BO120" s="78">
        <v>243.27574908206083</v>
      </c>
      <c r="BP120" s="78">
        <v>241.88962345995702</v>
      </c>
      <c r="BQ120" s="78">
        <v>240.44906762316586</v>
      </c>
      <c r="BR120" s="78">
        <v>239.05030924058707</v>
      </c>
      <c r="BS120" s="78">
        <v>237.59712061391022</v>
      </c>
      <c r="BT120" s="78">
        <v>236.18572941418469</v>
      </c>
      <c r="BU120" s="78">
        <v>234.71990794509236</v>
      </c>
    </row>
    <row r="121" spans="1:73" s="31" customFormat="1" x14ac:dyDescent="0.4">
      <c r="A121" s="38" t="s">
        <v>63</v>
      </c>
      <c r="B121" s="9" t="str">
        <f t="shared" ref="B121:B127" si="32">A121&amp;" WEM"</f>
        <v>3.B Manure managmentkt CO2-eq WEM</v>
      </c>
      <c r="C121" s="20" t="s">
        <v>48</v>
      </c>
      <c r="D121" s="15" t="s">
        <v>18</v>
      </c>
      <c r="E121" s="14" t="s">
        <v>186</v>
      </c>
      <c r="F121" s="15"/>
      <c r="G121" s="16" t="str">
        <f t="shared" si="31"/>
        <v>Þús. tonn CO₂-íg. | kt CO₂e</v>
      </c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78">
        <v>64.801463064993541</v>
      </c>
      <c r="AR121" s="78">
        <v>64.72068218132577</v>
      </c>
      <c r="AS121" s="78">
        <v>64.51376051769401</v>
      </c>
      <c r="AT121" s="78">
        <v>64.30857188668962</v>
      </c>
      <c r="AU121" s="78">
        <v>64.097883325638847</v>
      </c>
      <c r="AV121" s="78">
        <v>63.888924251872055</v>
      </c>
      <c r="AW121" s="78">
        <v>63.674461756542506</v>
      </c>
      <c r="AX121" s="78">
        <v>63.461725306857993</v>
      </c>
      <c r="AY121" s="78">
        <v>63.243482040189832</v>
      </c>
      <c r="AZ121" s="78">
        <v>63.026961466573411</v>
      </c>
      <c r="BA121" s="78">
        <v>62.804930763066245</v>
      </c>
      <c r="BB121" s="78">
        <v>62.584619476479183</v>
      </c>
      <c r="BC121" s="78">
        <v>62.358794817948315</v>
      </c>
      <c r="BD121" s="78">
        <v>62.13468636586429</v>
      </c>
      <c r="BE121" s="78">
        <v>61.905061360627677</v>
      </c>
      <c r="BF121" s="78">
        <v>61.677149407748203</v>
      </c>
      <c r="BG121" s="78">
        <v>61.443717772757722</v>
      </c>
      <c r="BH121" s="78">
        <v>61.21199608445535</v>
      </c>
      <c r="BI121" s="78">
        <v>60.974751629955662</v>
      </c>
      <c r="BJ121" s="78">
        <v>60.739214058059034</v>
      </c>
      <c r="BK121" s="78">
        <v>60.498150674415882</v>
      </c>
      <c r="BL121" s="78">
        <v>60.258791145004587</v>
      </c>
      <c r="BM121" s="78">
        <v>60.013902791395367</v>
      </c>
      <c r="BN121" s="78">
        <v>59.770715294320468</v>
      </c>
      <c r="BO121" s="78">
        <v>59.521995989023509</v>
      </c>
      <c r="BP121" s="78">
        <v>59.274974568909052</v>
      </c>
      <c r="BQ121" s="78">
        <v>59.022418380965298</v>
      </c>
      <c r="BR121" s="78">
        <v>58.771557129481593</v>
      </c>
      <c r="BS121" s="78">
        <v>58.515158171534324</v>
      </c>
      <c r="BT121" s="78">
        <v>58.260451220762768</v>
      </c>
      <c r="BU121" s="78">
        <v>58.000203642909014</v>
      </c>
    </row>
    <row r="122" spans="1:73" s="31" customFormat="1" x14ac:dyDescent="0.4">
      <c r="A122" s="38" t="s">
        <v>64</v>
      </c>
      <c r="B122" s="9" t="str">
        <f t="shared" si="32"/>
        <v>3.D Agricultural soilskt CO2-eq WEM</v>
      </c>
      <c r="C122" s="20" t="s">
        <v>48</v>
      </c>
      <c r="D122" s="15" t="s">
        <v>19</v>
      </c>
      <c r="E122" s="14" t="s">
        <v>187</v>
      </c>
      <c r="F122" s="15"/>
      <c r="G122" s="16" t="str">
        <f t="shared" si="31"/>
        <v>Þús. tonn CO₂-íg. | kt CO₂e</v>
      </c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78">
        <v>327.0501730443678</v>
      </c>
      <c r="AR122" s="78">
        <v>328.29588678161156</v>
      </c>
      <c r="AS122" s="78">
        <v>329.54265235420951</v>
      </c>
      <c r="AT122" s="78">
        <v>330.64582619560957</v>
      </c>
      <c r="AU122" s="78">
        <v>330.73994164996799</v>
      </c>
      <c r="AV122" s="78">
        <v>330.83579895086325</v>
      </c>
      <c r="AW122" s="78">
        <v>330.95273814640996</v>
      </c>
      <c r="AX122" s="78">
        <v>331.07812216579725</v>
      </c>
      <c r="AY122" s="78">
        <v>331.18665186345817</v>
      </c>
      <c r="AZ122" s="78">
        <v>331.29967339006919</v>
      </c>
      <c r="BA122" s="78">
        <v>331.41605679954847</v>
      </c>
      <c r="BB122" s="78">
        <v>331.53467602339691</v>
      </c>
      <c r="BC122" s="78">
        <v>331.64238014280608</v>
      </c>
      <c r="BD122" s="78">
        <v>331.75777983551069</v>
      </c>
      <c r="BE122" s="78">
        <v>331.86329355167908</v>
      </c>
      <c r="BF122" s="78">
        <v>331.97851937749715</v>
      </c>
      <c r="BG122" s="78">
        <v>332.08442195330156</v>
      </c>
      <c r="BH122" s="78">
        <v>332.19900232864893</v>
      </c>
      <c r="BI122" s="78">
        <v>332.30369641026596</v>
      </c>
      <c r="BJ122" s="78">
        <v>332.41705895150278</v>
      </c>
      <c r="BK122" s="78">
        <v>332.52067745869141</v>
      </c>
      <c r="BL122" s="78">
        <v>332.63317137619742</v>
      </c>
      <c r="BM122" s="78">
        <v>332.73572776549855</v>
      </c>
      <c r="BN122" s="78">
        <v>332.84713193577613</v>
      </c>
      <c r="BO122" s="78">
        <v>332.94867629653947</v>
      </c>
      <c r="BP122" s="78">
        <v>333.05908175126518</v>
      </c>
      <c r="BQ122" s="78">
        <v>333.15958831694394</v>
      </c>
      <c r="BR122" s="78">
        <v>333.26892258174809</v>
      </c>
      <c r="BS122" s="78">
        <v>333.36835629192109</v>
      </c>
      <c r="BT122" s="78">
        <v>333.47662118237179</v>
      </c>
      <c r="BU122" s="78">
        <v>333.57497428990314</v>
      </c>
    </row>
    <row r="123" spans="1:73" s="31" customFormat="1" x14ac:dyDescent="0.4">
      <c r="A123" s="38" t="s">
        <v>102</v>
      </c>
      <c r="B123" s="9" t="str">
        <f t="shared" si="32"/>
        <v>Liming and CO2 from fertilizers kt CO2e WEM</v>
      </c>
      <c r="C123" s="20" t="s">
        <v>48</v>
      </c>
      <c r="D123" s="15" t="s">
        <v>244</v>
      </c>
      <c r="E123" s="14" t="s">
        <v>245</v>
      </c>
      <c r="F123" s="15"/>
      <c r="G123" s="16" t="str">
        <f t="shared" si="31"/>
        <v>Þús. tonn CO₂-íg. | kt CO₂e</v>
      </c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77">
        <f t="shared" ref="AQ123:BU123" si="33">SUM(AQ124:AQ126)</f>
        <v>6.3857001052009847</v>
      </c>
      <c r="AR123" s="77">
        <f t="shared" si="33"/>
        <v>6.411036806382624</v>
      </c>
      <c r="AS123" s="77">
        <f t="shared" si="33"/>
        <v>6.4380492120068844</v>
      </c>
      <c r="AT123" s="77">
        <f t="shared" si="33"/>
        <v>6.4666801341765456</v>
      </c>
      <c r="AU123" s="77">
        <f t="shared" si="33"/>
        <v>6.49687433668438</v>
      </c>
      <c r="AV123" s="77">
        <f t="shared" si="33"/>
        <v>6.5285784684065069</v>
      </c>
      <c r="AW123" s="77">
        <f t="shared" si="33"/>
        <v>6.5617409989688991</v>
      </c>
      <c r="AX123" s="77">
        <f t="shared" si="33"/>
        <v>6.596312156609355</v>
      </c>
      <c r="AY123" s="77">
        <f t="shared" si="33"/>
        <v>6.6322438681602645</v>
      </c>
      <c r="AZ123" s="77">
        <f t="shared" si="33"/>
        <v>6.6694897010794634</v>
      </c>
      <c r="BA123" s="77">
        <f t="shared" si="33"/>
        <v>6.7080048074595044</v>
      </c>
      <c r="BB123" s="77">
        <f t="shared" si="33"/>
        <v>6.7477458699477895</v>
      </c>
      <c r="BC123" s="77">
        <f t="shared" si="33"/>
        <v>6.7886710495122173</v>
      </c>
      <c r="BD123" s="77">
        <f t="shared" si="33"/>
        <v>6.8307399349896398</v>
      </c>
      <c r="BE123" s="77">
        <f t="shared" si="33"/>
        <v>6.873913494355949</v>
      </c>
      <c r="BF123" s="77">
        <f t="shared" si="33"/>
        <v>6.9181540276592841</v>
      </c>
      <c r="BG123" s="77">
        <f t="shared" si="33"/>
        <v>6.9634251215595135</v>
      </c>
      <c r="BH123" s="77">
        <f t="shared" si="33"/>
        <v>7.0096916054191247</v>
      </c>
      <c r="BI123" s="77">
        <f t="shared" si="33"/>
        <v>7.0569195088927383</v>
      </c>
      <c r="BJ123" s="77">
        <f t="shared" si="33"/>
        <v>7.105076020963879</v>
      </c>
      <c r="BK123" s="77">
        <f t="shared" si="33"/>
        <v>7.1541294503797941</v>
      </c>
      <c r="BL123" s="77">
        <f t="shared" si="33"/>
        <v>7.2040491874365244</v>
      </c>
      <c r="BM123" s="77">
        <f t="shared" si="33"/>
        <v>7.2548056670681209</v>
      </c>
      <c r="BN123" s="77">
        <f t="shared" si="33"/>
        <v>7.3063703331956393</v>
      </c>
      <c r="BO123" s="77">
        <f t="shared" si="33"/>
        <v>7.3587156042927129</v>
      </c>
      <c r="BP123" s="77">
        <f t="shared" si="33"/>
        <v>7.4118148401263557</v>
      </c>
      <c r="BQ123" s="77">
        <f t="shared" si="33"/>
        <v>7.4656423096328126</v>
      </c>
      <c r="BR123" s="77">
        <f t="shared" si="33"/>
        <v>7.5201731598896941</v>
      </c>
      <c r="BS123" s="77">
        <f t="shared" si="33"/>
        <v>7.5753833861471032</v>
      </c>
      <c r="BT123" s="77">
        <f t="shared" si="33"/>
        <v>7.6312498028814444</v>
      </c>
      <c r="BU123" s="77">
        <f t="shared" si="33"/>
        <v>7.6877500158371461</v>
      </c>
    </row>
    <row r="124" spans="1:73" s="62" customFormat="1" ht="15" x14ac:dyDescent="0.35">
      <c r="A124" s="38" t="s">
        <v>65</v>
      </c>
      <c r="B124" s="9" t="str">
        <f t="shared" si="32"/>
        <v>3.G Limingkt CO2-eq WEM</v>
      </c>
      <c r="C124" s="4" t="s">
        <v>48</v>
      </c>
      <c r="D124" s="58" t="s">
        <v>113</v>
      </c>
      <c r="E124" s="81" t="s">
        <v>142</v>
      </c>
      <c r="F124" s="58"/>
      <c r="G124" s="60" t="str">
        <f t="shared" si="31"/>
        <v>Þús. tonn CO₂-íg. | kt CO₂e</v>
      </c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  <c r="Y124" s="389"/>
      <c r="Z124" s="389"/>
      <c r="AA124" s="389"/>
      <c r="AB124" s="389"/>
      <c r="AC124" s="389"/>
      <c r="AD124" s="389"/>
      <c r="AE124" s="389"/>
      <c r="AF124" s="389"/>
      <c r="AG124" s="389"/>
      <c r="AH124" s="389"/>
      <c r="AI124" s="389"/>
      <c r="AJ124" s="389"/>
      <c r="AK124" s="389"/>
      <c r="AL124" s="389"/>
      <c r="AM124" s="389"/>
      <c r="AN124" s="389"/>
      <c r="AO124" s="389"/>
      <c r="AP124" s="389"/>
      <c r="AQ124" s="390">
        <v>3.2643549092848057</v>
      </c>
      <c r="AR124" s="390">
        <v>3.3387926530916063</v>
      </c>
      <c r="AS124" s="390">
        <v>3.4132303968984079</v>
      </c>
      <c r="AT124" s="390">
        <v>3.4876681407052086</v>
      </c>
      <c r="AU124" s="390">
        <v>3.5621058845120097</v>
      </c>
      <c r="AV124" s="390">
        <v>3.6365436283188108</v>
      </c>
      <c r="AW124" s="390">
        <v>3.7109813721256124</v>
      </c>
      <c r="AX124" s="390">
        <v>3.7854191159324126</v>
      </c>
      <c r="AY124" s="390">
        <v>3.8598568597392138</v>
      </c>
      <c r="AZ124" s="390">
        <v>3.9342946035460153</v>
      </c>
      <c r="BA124" s="390">
        <v>4.008732347352816</v>
      </c>
      <c r="BB124" s="390">
        <v>4.0831700911596176</v>
      </c>
      <c r="BC124" s="390">
        <v>4.1576078349664183</v>
      </c>
      <c r="BD124" s="390">
        <v>4.232045578773219</v>
      </c>
      <c r="BE124" s="390">
        <v>4.3064833225800205</v>
      </c>
      <c r="BF124" s="390">
        <v>4.3809210663868221</v>
      </c>
      <c r="BG124" s="390">
        <v>4.4553588101936228</v>
      </c>
      <c r="BH124" s="390">
        <v>4.5297965540004235</v>
      </c>
      <c r="BI124" s="390">
        <v>4.604234297807225</v>
      </c>
      <c r="BJ124" s="390">
        <v>4.6786720416140257</v>
      </c>
      <c r="BK124" s="390">
        <v>4.7531097854208273</v>
      </c>
      <c r="BL124" s="390">
        <v>4.827547529227628</v>
      </c>
      <c r="BM124" s="390">
        <v>4.9019852730344287</v>
      </c>
      <c r="BN124" s="390">
        <v>4.9764230168412302</v>
      </c>
      <c r="BO124" s="390">
        <v>5.0508607606480318</v>
      </c>
      <c r="BP124" s="390">
        <v>5.1252985044548325</v>
      </c>
      <c r="BQ124" s="390">
        <v>5.1997362482616332</v>
      </c>
      <c r="BR124" s="390">
        <v>5.2741739920684338</v>
      </c>
      <c r="BS124" s="390">
        <v>5.3486117358752354</v>
      </c>
      <c r="BT124" s="390">
        <v>5.423049479682037</v>
      </c>
      <c r="BU124" s="390">
        <v>5.4974872234888377</v>
      </c>
    </row>
    <row r="125" spans="1:73" s="62" customFormat="1" ht="15" x14ac:dyDescent="0.35">
      <c r="A125" s="38" t="s">
        <v>88</v>
      </c>
      <c r="B125" s="9" t="str">
        <f t="shared" si="32"/>
        <v>3.H Urea applicationkt CO2-eq WEM</v>
      </c>
      <c r="C125" s="4" t="s">
        <v>48</v>
      </c>
      <c r="D125" s="58" t="s">
        <v>112</v>
      </c>
      <c r="E125" s="81" t="s">
        <v>143</v>
      </c>
      <c r="F125" s="58"/>
      <c r="G125" s="60" t="str">
        <f t="shared" si="31"/>
        <v>Þús. tonn CO₂-íg. | kt CO₂e</v>
      </c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89"/>
      <c r="Y125" s="389"/>
      <c r="Z125" s="389"/>
      <c r="AA125" s="389"/>
      <c r="AB125" s="389"/>
      <c r="AC125" s="389"/>
      <c r="AD125" s="389"/>
      <c r="AE125" s="389"/>
      <c r="AF125" s="389"/>
      <c r="AG125" s="389"/>
      <c r="AH125" s="389"/>
      <c r="AI125" s="389"/>
      <c r="AJ125" s="389"/>
      <c r="AK125" s="389"/>
      <c r="AL125" s="389"/>
      <c r="AM125" s="389"/>
      <c r="AN125" s="389"/>
      <c r="AO125" s="389"/>
      <c r="AP125" s="389"/>
      <c r="AQ125" s="390">
        <v>1.6825995999999996</v>
      </c>
      <c r="AR125" s="390">
        <v>1.6825995999999996</v>
      </c>
      <c r="AS125" s="390">
        <v>1.6825995999999996</v>
      </c>
      <c r="AT125" s="390">
        <v>1.6825995999999996</v>
      </c>
      <c r="AU125" s="390">
        <v>1.6825995999999996</v>
      </c>
      <c r="AV125" s="390">
        <v>1.6825995999999996</v>
      </c>
      <c r="AW125" s="390">
        <v>1.6825995999999996</v>
      </c>
      <c r="AX125" s="390">
        <v>1.6825995999999996</v>
      </c>
      <c r="AY125" s="390">
        <v>1.6825995999999996</v>
      </c>
      <c r="AZ125" s="390">
        <v>1.6825995999999996</v>
      </c>
      <c r="BA125" s="390">
        <v>1.6825995999999996</v>
      </c>
      <c r="BB125" s="390">
        <v>1.6825995999999996</v>
      </c>
      <c r="BC125" s="390">
        <v>1.6825995999999996</v>
      </c>
      <c r="BD125" s="390">
        <v>1.6825995999999996</v>
      </c>
      <c r="BE125" s="390">
        <v>1.6825995999999996</v>
      </c>
      <c r="BF125" s="390">
        <v>1.6825995999999996</v>
      </c>
      <c r="BG125" s="390">
        <v>1.6825995999999996</v>
      </c>
      <c r="BH125" s="390">
        <v>1.6825995999999996</v>
      </c>
      <c r="BI125" s="390">
        <v>1.6825995999999996</v>
      </c>
      <c r="BJ125" s="390">
        <v>1.6825995999999996</v>
      </c>
      <c r="BK125" s="390">
        <v>1.6825995999999996</v>
      </c>
      <c r="BL125" s="390">
        <v>1.6825995999999996</v>
      </c>
      <c r="BM125" s="390">
        <v>1.6825995999999996</v>
      </c>
      <c r="BN125" s="390">
        <v>1.6825995999999996</v>
      </c>
      <c r="BO125" s="390">
        <v>1.6825995999999996</v>
      </c>
      <c r="BP125" s="390">
        <v>1.6825995999999996</v>
      </c>
      <c r="BQ125" s="390">
        <v>1.6825995999999996</v>
      </c>
      <c r="BR125" s="390">
        <v>1.6825995999999996</v>
      </c>
      <c r="BS125" s="390">
        <v>1.6825995999999996</v>
      </c>
      <c r="BT125" s="390">
        <v>1.6825995999999996</v>
      </c>
      <c r="BU125" s="390">
        <v>1.6825995999999996</v>
      </c>
    </row>
    <row r="126" spans="1:73" s="62" customFormat="1" ht="15" x14ac:dyDescent="0.35">
      <c r="A126" s="38" t="s">
        <v>89</v>
      </c>
      <c r="B126" s="9" t="str">
        <f t="shared" si="32"/>
        <v>3.I Other carbon-containing fertilizerskt CO2-eq WEM</v>
      </c>
      <c r="C126" s="4" t="s">
        <v>48</v>
      </c>
      <c r="D126" s="58" t="s">
        <v>114</v>
      </c>
      <c r="E126" s="81" t="s">
        <v>144</v>
      </c>
      <c r="F126" s="58"/>
      <c r="G126" s="60" t="str">
        <f t="shared" si="31"/>
        <v>Þús. tonn CO₂-íg. | kt CO₂e</v>
      </c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  <c r="AA126" s="389"/>
      <c r="AB126" s="389"/>
      <c r="AC126" s="389"/>
      <c r="AD126" s="389"/>
      <c r="AE126" s="389"/>
      <c r="AF126" s="389"/>
      <c r="AG126" s="389"/>
      <c r="AH126" s="389"/>
      <c r="AI126" s="389"/>
      <c r="AJ126" s="389"/>
      <c r="AK126" s="389"/>
      <c r="AL126" s="389"/>
      <c r="AM126" s="389"/>
      <c r="AN126" s="389"/>
      <c r="AO126" s="389"/>
      <c r="AP126" s="389"/>
      <c r="AQ126" s="390">
        <v>1.4387455959161797</v>
      </c>
      <c r="AR126" s="390">
        <v>1.3896445532910178</v>
      </c>
      <c r="AS126" s="390">
        <v>1.3422192151084769</v>
      </c>
      <c r="AT126" s="390">
        <v>1.2964123934713374</v>
      </c>
      <c r="AU126" s="390">
        <v>1.2521688521723708</v>
      </c>
      <c r="AV126" s="390">
        <v>1.2094352400876964</v>
      </c>
      <c r="AW126" s="390">
        <v>1.1681600268432875</v>
      </c>
      <c r="AX126" s="390">
        <v>1.128293440676942</v>
      </c>
      <c r="AY126" s="390">
        <v>1.0897874084210515</v>
      </c>
      <c r="AZ126" s="390">
        <v>1.0525954975334479</v>
      </c>
      <c r="BA126" s="390">
        <v>1.016672860106689</v>
      </c>
      <c r="BB126" s="390">
        <v>0.98197617878817212</v>
      </c>
      <c r="BC126" s="390">
        <v>0.94846361454579964</v>
      </c>
      <c r="BD126" s="390">
        <v>0.916094756216421</v>
      </c>
      <c r="BE126" s="390">
        <v>0.88483057177592861</v>
      </c>
      <c r="BF126" s="390">
        <v>0.85463336127246214</v>
      </c>
      <c r="BG126" s="390">
        <v>0.82546671136589156</v>
      </c>
      <c r="BH126" s="390">
        <v>0.79729545141870206</v>
      </c>
      <c r="BI126" s="390">
        <v>0.77008561108551377</v>
      </c>
      <c r="BJ126" s="390">
        <v>0.74380437934985355</v>
      </c>
      <c r="BK126" s="390">
        <v>0.71842006495896749</v>
      </c>
      <c r="BL126" s="390">
        <v>0.69390205820889672</v>
      </c>
      <c r="BM126" s="390">
        <v>0.67022079403369272</v>
      </c>
      <c r="BN126" s="390">
        <v>0.64734771635440902</v>
      </c>
      <c r="BO126" s="390">
        <v>0.62525524364468155</v>
      </c>
      <c r="BP126" s="390">
        <v>0.60391673567152326</v>
      </c>
      <c r="BQ126" s="390">
        <v>0.58330646137117959</v>
      </c>
      <c r="BR126" s="390">
        <v>0.56339956782126044</v>
      </c>
      <c r="BS126" s="390">
        <v>0.5441720502718681</v>
      </c>
      <c r="BT126" s="390">
        <v>0.52560072319940798</v>
      </c>
      <c r="BU126" s="390">
        <v>0.50766319234830859</v>
      </c>
    </row>
    <row r="127" spans="1:73" s="35" customFormat="1" ht="19.2" x14ac:dyDescent="0.4">
      <c r="A127" s="38" t="s">
        <v>44</v>
      </c>
      <c r="B127" s="9" t="str">
        <f t="shared" si="32"/>
        <v>3. Agriculturekt CO2-eq WEM</v>
      </c>
      <c r="C127" s="20" t="s">
        <v>48</v>
      </c>
      <c r="D127" s="46" t="s">
        <v>135</v>
      </c>
      <c r="E127" s="21"/>
      <c r="F127" s="22"/>
      <c r="G127" s="23" t="str">
        <f t="shared" si="31"/>
        <v>Þús. tonn CO₂-íg. | kt CO₂e</v>
      </c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352">
        <f>AO117</f>
        <v>675.62542094858054</v>
      </c>
      <c r="AP127" s="1125">
        <f>AP117</f>
        <v>669.59914464131464</v>
      </c>
      <c r="AQ127" s="187">
        <v>673.08179574460871</v>
      </c>
      <c r="AR127" s="187">
        <v>673.41835300016351</v>
      </c>
      <c r="AS127" s="187">
        <v>673.19623770214559</v>
      </c>
      <c r="AT127" s="187">
        <v>672.87568068080157</v>
      </c>
      <c r="AU127" s="187">
        <v>671.48769930953154</v>
      </c>
      <c r="AV127" s="187">
        <v>670.14649749100101</v>
      </c>
      <c r="AW127" s="187">
        <v>668.76790307461727</v>
      </c>
      <c r="AX127" s="187">
        <v>667.44268629937437</v>
      </c>
      <c r="AY127" s="187">
        <v>666.04203933505767</v>
      </c>
      <c r="AZ127" s="187">
        <v>664.69071903405177</v>
      </c>
      <c r="BA127" s="187">
        <v>663.28409003970592</v>
      </c>
      <c r="BB127" s="187">
        <v>661.92444014565592</v>
      </c>
      <c r="BC127" s="187">
        <v>660.49511607331897</v>
      </c>
      <c r="BD127" s="187">
        <v>659.11814530760034</v>
      </c>
      <c r="BE127" s="187">
        <v>657.672446781899</v>
      </c>
      <c r="BF127" s="187">
        <v>656.28103813414009</v>
      </c>
      <c r="BG127" s="187">
        <v>654.82138713748839</v>
      </c>
      <c r="BH127" s="187">
        <v>653.41491695120055</v>
      </c>
      <c r="BI127" s="187">
        <v>651.93956908437315</v>
      </c>
      <c r="BJ127" s="187">
        <v>650.51732278427949</v>
      </c>
      <c r="BK127" s="187">
        <v>649.02627346151337</v>
      </c>
      <c r="BL127" s="187">
        <v>647.58846727680464</v>
      </c>
      <c r="BM127" s="187">
        <v>646.08160134166076</v>
      </c>
      <c r="BN127" s="187">
        <v>644.62788975339924</v>
      </c>
      <c r="BO127" s="187">
        <v>643.10513697191652</v>
      </c>
      <c r="BP127" s="187">
        <v>641.63549462025765</v>
      </c>
      <c r="BQ127" s="187">
        <v>640.09671663070799</v>
      </c>
      <c r="BR127" s="187">
        <v>638.6109621117065</v>
      </c>
      <c r="BS127" s="187">
        <v>637.05601846351271</v>
      </c>
      <c r="BT127" s="187">
        <v>635.55405162020065</v>
      </c>
      <c r="BU127" s="187">
        <v>633.98283589374171</v>
      </c>
    </row>
    <row r="129" spans="1:73" s="297" customFormat="1" ht="42.6" customHeight="1" x14ac:dyDescent="0.75">
      <c r="A129" s="288"/>
      <c r="B129" s="360" t="s">
        <v>48</v>
      </c>
      <c r="C129" s="289"/>
      <c r="D129" s="290" t="s">
        <v>194</v>
      </c>
      <c r="E129" s="291"/>
      <c r="F129" s="292"/>
      <c r="G129" s="293"/>
      <c r="H129" s="294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</row>
    <row r="130" spans="1:73" s="325" customFormat="1" ht="37.200000000000003" customHeight="1" x14ac:dyDescent="0.4">
      <c r="A130" s="323"/>
      <c r="B130" s="361"/>
      <c r="C130" s="324"/>
      <c r="D130" s="210"/>
      <c r="E130" s="197"/>
      <c r="F130" s="197"/>
      <c r="G130" s="92"/>
      <c r="H130" s="259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  <c r="T130" s="321"/>
      <c r="U130" s="321"/>
      <c r="V130" s="321"/>
      <c r="W130" s="321"/>
      <c r="X130" s="321"/>
      <c r="Y130" s="321"/>
      <c r="Z130" s="321"/>
      <c r="AA130" s="321"/>
      <c r="AB130" s="321"/>
      <c r="AC130" s="321"/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  <c r="AR130" s="321"/>
      <c r="AS130" s="321"/>
      <c r="AT130" s="321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1"/>
      <c r="BE130" s="321"/>
      <c r="BF130" s="321"/>
      <c r="BG130" s="321"/>
      <c r="BH130" s="321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</row>
    <row r="131" spans="1:73" s="8" customFormat="1" ht="24" customHeight="1" x14ac:dyDescent="0.4">
      <c r="A131" s="4"/>
      <c r="B131" s="358" t="s">
        <v>48</v>
      </c>
      <c r="C131" s="5"/>
      <c r="D131" s="87" t="str">
        <f>$D$4</f>
        <v>Söguleg losun</v>
      </c>
      <c r="E131" s="87" t="s">
        <v>398</v>
      </c>
      <c r="F131" s="87"/>
      <c r="G131" s="87"/>
      <c r="H131" s="7"/>
      <c r="I131" s="93"/>
      <c r="J131" s="94"/>
      <c r="K131" s="95"/>
      <c r="L131" s="11"/>
      <c r="M131" s="96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</row>
    <row r="132" spans="1:73" s="31" customFormat="1" x14ac:dyDescent="0.4">
      <c r="A132" s="4"/>
      <c r="B132" s="47" t="s">
        <v>103</v>
      </c>
      <c r="C132" s="5" t="s">
        <v>48</v>
      </c>
      <c r="D132" s="15" t="s">
        <v>20</v>
      </c>
      <c r="E132" s="14" t="s">
        <v>188</v>
      </c>
      <c r="F132" s="15"/>
      <c r="G132" s="16" t="str">
        <f t="shared" ref="G132:G153" si="34">$G$5</f>
        <v>Þús. tonn CO₂-íg. | kt CO₂e</v>
      </c>
      <c r="H132" s="17">
        <f t="shared" ref="H132:AP132" si="35">SUM(H$133:H$136)-SUM(H$137:H$138)</f>
        <v>144.78688016439108</v>
      </c>
      <c r="I132" s="17">
        <f t="shared" si="35"/>
        <v>140.91355883203133</v>
      </c>
      <c r="J132" s="17">
        <f t="shared" si="35"/>
        <v>133.00461429913585</v>
      </c>
      <c r="K132" s="17">
        <f t="shared" si="35"/>
        <v>135.86452320344708</v>
      </c>
      <c r="L132" s="17">
        <f t="shared" si="35"/>
        <v>138.52875778322243</v>
      </c>
      <c r="M132" s="17">
        <f t="shared" si="35"/>
        <v>135.29965265158128</v>
      </c>
      <c r="N132" s="17">
        <f t="shared" si="35"/>
        <v>142.01306368333411</v>
      </c>
      <c r="O132" s="17">
        <f t="shared" si="35"/>
        <v>138.90242344633376</v>
      </c>
      <c r="P132" s="17">
        <f t="shared" si="35"/>
        <v>141.02400347680768</v>
      </c>
      <c r="Q132" s="17">
        <f t="shared" si="35"/>
        <v>145.71612782579052</v>
      </c>
      <c r="R132" s="17">
        <f t="shared" si="35"/>
        <v>143.63589581202868</v>
      </c>
      <c r="S132" s="17">
        <f t="shared" si="35"/>
        <v>143.26849869400485</v>
      </c>
      <c r="T132" s="17">
        <f t="shared" si="35"/>
        <v>134.98000125850714</v>
      </c>
      <c r="U132" s="17">
        <f t="shared" si="35"/>
        <v>132.76194320669094</v>
      </c>
      <c r="V132" s="17">
        <f t="shared" si="35"/>
        <v>130.5916054247208</v>
      </c>
      <c r="W132" s="17">
        <f t="shared" si="35"/>
        <v>128.59792508409149</v>
      </c>
      <c r="X132" s="17">
        <f t="shared" si="35"/>
        <v>144.0710437096098</v>
      </c>
      <c r="Y132" s="17">
        <f t="shared" si="35"/>
        <v>152.59001317088033</v>
      </c>
      <c r="Z132" s="17">
        <f t="shared" si="35"/>
        <v>163.66136392130278</v>
      </c>
      <c r="AA132" s="17">
        <f t="shared" si="35"/>
        <v>146.04969647739549</v>
      </c>
      <c r="AB132" s="17">
        <f t="shared" si="35"/>
        <v>137.88544578950513</v>
      </c>
      <c r="AC132" s="17">
        <f t="shared" si="35"/>
        <v>136.30752473936207</v>
      </c>
      <c r="AD132" s="17">
        <f t="shared" si="35"/>
        <v>141.19619365905683</v>
      </c>
      <c r="AE132" s="17">
        <f t="shared" si="35"/>
        <v>140.27772032623437</v>
      </c>
      <c r="AF132" s="17">
        <f t="shared" si="35"/>
        <v>158.02576057060335</v>
      </c>
      <c r="AG132" s="17">
        <f t="shared" si="35"/>
        <v>143.44049245946044</v>
      </c>
      <c r="AH132" s="17">
        <f t="shared" si="35"/>
        <v>139.95896370157476</v>
      </c>
      <c r="AI132" s="17">
        <f t="shared" si="35"/>
        <v>150.49820660433119</v>
      </c>
      <c r="AJ132" s="17">
        <f t="shared" si="35"/>
        <v>140.87867968013234</v>
      </c>
      <c r="AK132" s="17">
        <f t="shared" si="35"/>
        <v>135.95707658223768</v>
      </c>
      <c r="AL132" s="17">
        <f t="shared" si="35"/>
        <v>138.58028773070902</v>
      </c>
      <c r="AM132" s="17">
        <f t="shared" si="35"/>
        <v>142.85390431357752</v>
      </c>
      <c r="AN132" s="17">
        <f t="shared" si="35"/>
        <v>135.60581991562412</v>
      </c>
      <c r="AO132" s="17">
        <f t="shared" si="35"/>
        <v>125.40430861028136</v>
      </c>
      <c r="AP132" s="17">
        <f t="shared" si="35"/>
        <v>130.29124808623394</v>
      </c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</row>
    <row r="133" spans="1:73" s="62" customFormat="1" hidden="1" x14ac:dyDescent="0.25">
      <c r="A133" s="97" t="s">
        <v>64</v>
      </c>
      <c r="B133" s="62" t="s">
        <v>48</v>
      </c>
      <c r="C133" s="5" t="s">
        <v>48</v>
      </c>
      <c r="D133" s="65"/>
      <c r="E133" s="64"/>
      <c r="F133" s="65"/>
      <c r="G133" s="66" t="str">
        <f t="shared" si="34"/>
        <v>Þús. tonn CO₂-íg. | kt CO₂e</v>
      </c>
      <c r="H133" s="67">
        <v>279.10672336631393</v>
      </c>
      <c r="I133" s="67">
        <v>283.33464139112095</v>
      </c>
      <c r="J133" s="67">
        <v>281.01461157260712</v>
      </c>
      <c r="K133" s="67">
        <v>286.94806278541097</v>
      </c>
      <c r="L133" s="67">
        <v>294.95435574502022</v>
      </c>
      <c r="M133" s="67">
        <v>292.21158506575927</v>
      </c>
      <c r="N133" s="67">
        <v>302.46545500998877</v>
      </c>
      <c r="O133" s="67">
        <v>301.51059695180044</v>
      </c>
      <c r="P133" s="67">
        <v>308.41610059421515</v>
      </c>
      <c r="Q133" s="67">
        <v>313.68503236180572</v>
      </c>
      <c r="R133" s="67">
        <v>313.3534027022701</v>
      </c>
      <c r="S133" s="67">
        <v>313.38735999648674</v>
      </c>
      <c r="T133" s="67">
        <v>307.78466578324912</v>
      </c>
      <c r="U133" s="67">
        <v>305.88729129273287</v>
      </c>
      <c r="V133" s="67">
        <v>309.34851965580015</v>
      </c>
      <c r="W133" s="67">
        <v>310.37369744156211</v>
      </c>
      <c r="X133" s="67">
        <v>326.13436093180786</v>
      </c>
      <c r="Y133" s="67">
        <v>335.48376384155807</v>
      </c>
      <c r="Z133" s="67">
        <v>344.10688510186696</v>
      </c>
      <c r="AA133" s="67">
        <v>328.28045618864144</v>
      </c>
      <c r="AB133" s="67">
        <v>322.25825550780723</v>
      </c>
      <c r="AC133" s="67">
        <v>321.06176006768953</v>
      </c>
      <c r="AD133" s="67">
        <v>326.11417359676324</v>
      </c>
      <c r="AE133" s="67">
        <v>325.82986507810625</v>
      </c>
      <c r="AF133" s="67">
        <v>344.60306332374989</v>
      </c>
      <c r="AG133" s="67">
        <v>331.16451506694096</v>
      </c>
      <c r="AH133" s="67">
        <v>327.86499888936441</v>
      </c>
      <c r="AI133" s="67">
        <v>338.43248144177835</v>
      </c>
      <c r="AJ133" s="67">
        <v>329.52894263074268</v>
      </c>
      <c r="AK133" s="67">
        <v>322.39255259241293</v>
      </c>
      <c r="AL133" s="67">
        <v>326.88035192545715</v>
      </c>
      <c r="AM133" s="67">
        <v>332.16656803644645</v>
      </c>
      <c r="AN133" s="67">
        <v>326.89003759212176</v>
      </c>
      <c r="AO133" s="67">
        <v>315.48633413473226</v>
      </c>
      <c r="AP133" s="67">
        <v>322.41304134971909</v>
      </c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</row>
    <row r="134" spans="1:73" s="62" customFormat="1" hidden="1" x14ac:dyDescent="0.25">
      <c r="A134" s="97" t="s">
        <v>65</v>
      </c>
      <c r="B134" s="62" t="s">
        <v>48</v>
      </c>
      <c r="C134" s="5" t="s">
        <v>48</v>
      </c>
      <c r="D134" s="65"/>
      <c r="E134" s="64"/>
      <c r="F134" s="65"/>
      <c r="G134" s="66" t="str">
        <f t="shared" si="34"/>
        <v>Þús. tonn CO₂-íg. | kt CO₂e</v>
      </c>
      <c r="H134" s="98">
        <v>2.3099999999999999E-2</v>
      </c>
      <c r="I134" s="98">
        <v>9.2492400000000006E-3</v>
      </c>
      <c r="J134" s="98">
        <v>3.2451320000000006E-2</v>
      </c>
      <c r="K134" s="98">
        <v>2.2004839999999998E-2</v>
      </c>
      <c r="L134" s="98">
        <v>8.7999999999999988E-3</v>
      </c>
      <c r="M134" s="98">
        <v>3.0799999999999997E-6</v>
      </c>
      <c r="N134" s="98">
        <v>1.7356020000000714E-2</v>
      </c>
      <c r="O134" s="98">
        <v>3.4708959999999997E-2</v>
      </c>
      <c r="P134" s="98">
        <v>6.1599999999999995E-6</v>
      </c>
      <c r="Q134" s="98">
        <v>1.1063800000000992E-3</v>
      </c>
      <c r="R134" s="98">
        <v>2.2065999999999995E-3</v>
      </c>
      <c r="S134" s="98">
        <v>1.11936E-3</v>
      </c>
      <c r="T134" s="98">
        <v>2.8419599999999993E-3</v>
      </c>
      <c r="U134" s="98">
        <v>2.4203065333333327</v>
      </c>
      <c r="V134" s="98">
        <v>2.6251791866666663</v>
      </c>
      <c r="W134" s="98">
        <v>2.4051975199999998</v>
      </c>
      <c r="X134" s="98">
        <v>1.73838852</v>
      </c>
      <c r="Y134" s="98">
        <v>1.0369714762512297</v>
      </c>
      <c r="Z134" s="98">
        <v>3.6735925942222227</v>
      </c>
      <c r="AA134" s="98">
        <v>3.0739770309844445</v>
      </c>
      <c r="AB134" s="98">
        <v>1.8583262646666665</v>
      </c>
      <c r="AC134" s="98">
        <v>1.9271194561666667</v>
      </c>
      <c r="AD134" s="98">
        <v>1.7916920999999999</v>
      </c>
      <c r="AE134" s="98">
        <v>1.8863734999999999</v>
      </c>
      <c r="AF134" s="98">
        <v>1.6110500266666667</v>
      </c>
      <c r="AG134" s="98">
        <v>1.3453975333333332</v>
      </c>
      <c r="AH134" s="98">
        <v>1.2491211333333334</v>
      </c>
      <c r="AI134" s="98">
        <v>1.5897757333333333</v>
      </c>
      <c r="AJ134" s="98">
        <v>1.7315657333333334</v>
      </c>
      <c r="AK134" s="98">
        <v>2.2879114133333331</v>
      </c>
      <c r="AL134" s="98">
        <v>3.5554273333333333</v>
      </c>
      <c r="AM134" s="98">
        <v>3.5400694266666668</v>
      </c>
      <c r="AN134" s="98">
        <v>2.8859085200000001</v>
      </c>
      <c r="AO134" s="98">
        <v>4.9082017233333328</v>
      </c>
      <c r="AP134" s="98">
        <v>3.5993053800000001</v>
      </c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</row>
    <row r="135" spans="1:73" s="62" customFormat="1" hidden="1" x14ac:dyDescent="0.25">
      <c r="A135" s="97" t="s">
        <v>88</v>
      </c>
      <c r="B135" s="62" t="s">
        <v>48</v>
      </c>
      <c r="C135" s="5" t="s">
        <v>48</v>
      </c>
      <c r="D135" s="65"/>
      <c r="E135" s="64"/>
      <c r="F135" s="65"/>
      <c r="G135" s="66" t="str">
        <f t="shared" si="34"/>
        <v>Þús. tonn CO₂-íg. | kt CO₂e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6.6000000000000008E-3</v>
      </c>
      <c r="AG135" s="98">
        <v>6.6000000000000008E-3</v>
      </c>
      <c r="AH135" s="98">
        <v>0.3888133333333334</v>
      </c>
      <c r="AI135" s="98">
        <v>0.67158666666666655</v>
      </c>
      <c r="AJ135" s="98">
        <v>0.80886666666666673</v>
      </c>
      <c r="AK135" s="98">
        <v>3.1538393333333334</v>
      </c>
      <c r="AL135" s="98">
        <v>1.5742649999999998</v>
      </c>
      <c r="AM135" s="98">
        <v>1.3679600000000001</v>
      </c>
      <c r="AN135" s="98">
        <v>1.6001333333333332</v>
      </c>
      <c r="AO135" s="98">
        <v>1.8259450000000002</v>
      </c>
      <c r="AP135" s="98">
        <v>2.0446946666666665</v>
      </c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</row>
    <row r="136" spans="1:73" s="62" customFormat="1" hidden="1" x14ac:dyDescent="0.25">
      <c r="A136" s="97" t="s">
        <v>89</v>
      </c>
      <c r="B136" s="62" t="s">
        <v>48</v>
      </c>
      <c r="C136" s="5" t="s">
        <v>48</v>
      </c>
      <c r="D136" s="65"/>
      <c r="E136" s="64"/>
      <c r="F136" s="65"/>
      <c r="G136" s="66" t="str">
        <f t="shared" si="34"/>
        <v>Þús. tonn CO₂-íg. | kt CO₂e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2.4369427269135802</v>
      </c>
      <c r="N136" s="98">
        <v>2.6334738765432109</v>
      </c>
      <c r="O136" s="98">
        <v>2.524652641975309</v>
      </c>
      <c r="P136" s="98">
        <v>2.5464168888888898</v>
      </c>
      <c r="Q136" s="98">
        <v>2.7605770785185189</v>
      </c>
      <c r="R136" s="98">
        <v>2.759924151111111</v>
      </c>
      <c r="S136" s="98">
        <v>2.694849052839507</v>
      </c>
      <c r="T136" s="98">
        <v>2.412566770370371</v>
      </c>
      <c r="U136" s="98">
        <v>2.2512937007407414</v>
      </c>
      <c r="V136" s="98">
        <v>2.1544428019753092</v>
      </c>
      <c r="W136" s="98">
        <v>2.1274551358024691</v>
      </c>
      <c r="X136" s="98">
        <v>2.6861433540740745</v>
      </c>
      <c r="Y136" s="98">
        <v>3.0239244661728399</v>
      </c>
      <c r="Z136" s="98">
        <v>3.3453823930864197</v>
      </c>
      <c r="AA136" s="98">
        <v>2.6491441343209883</v>
      </c>
      <c r="AB136" s="98">
        <v>2.0657231008212489</v>
      </c>
      <c r="AC136" s="98">
        <v>1.9333192780585513</v>
      </c>
      <c r="AD136" s="98">
        <v>2.5544715798697335</v>
      </c>
      <c r="AE136" s="98">
        <v>2.3632436206617329</v>
      </c>
      <c r="AF136" s="98">
        <v>2.2058846438152333</v>
      </c>
      <c r="AG136" s="98">
        <v>1.8359805571269066</v>
      </c>
      <c r="AH136" s="98">
        <v>1.956813274139533</v>
      </c>
      <c r="AI136" s="98">
        <v>2.0429221621201252</v>
      </c>
      <c r="AJ136" s="98">
        <v>1.8375318122447</v>
      </c>
      <c r="AK136" s="98">
        <v>2.3284968518030262</v>
      </c>
      <c r="AL136" s="98">
        <v>1.8342286850468534</v>
      </c>
      <c r="AM136" s="98">
        <v>1.9215742567450005</v>
      </c>
      <c r="AN136" s="98">
        <v>1.5347314509587344</v>
      </c>
      <c r="AO136" s="98">
        <v>1.3421660667500181</v>
      </c>
      <c r="AP136" s="98">
        <v>1.1421664787255437</v>
      </c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</row>
    <row r="137" spans="1:73" s="62" customFormat="1" hidden="1" x14ac:dyDescent="0.25">
      <c r="A137" s="97" t="s">
        <v>75</v>
      </c>
      <c r="B137" s="62" t="s">
        <v>48</v>
      </c>
      <c r="C137" s="5" t="s">
        <v>48</v>
      </c>
      <c r="D137" s="65"/>
      <c r="E137" s="64"/>
      <c r="F137" s="65"/>
      <c r="G137" s="66" t="str">
        <f t="shared" si="34"/>
        <v>Þús. tonn CO₂-íg. | kt CO₂e</v>
      </c>
      <c r="H137" s="67">
        <v>134.08209935015935</v>
      </c>
      <c r="I137" s="67">
        <v>142.13724247882615</v>
      </c>
      <c r="J137" s="67">
        <v>147.84111388242457</v>
      </c>
      <c r="K137" s="67">
        <v>150.90871303630436</v>
      </c>
      <c r="L137" s="67">
        <v>156.15640696500481</v>
      </c>
      <c r="M137" s="67">
        <v>159.15642326070846</v>
      </c>
      <c r="N137" s="67">
        <v>162.78481898050404</v>
      </c>
      <c r="O137" s="67">
        <v>164.89366159054333</v>
      </c>
      <c r="P137" s="67">
        <v>169.58842067120813</v>
      </c>
      <c r="Q137" s="67">
        <v>170.48307561886736</v>
      </c>
      <c r="R137" s="67">
        <v>172.18323227492695</v>
      </c>
      <c r="S137" s="67">
        <v>172.45520802393111</v>
      </c>
      <c r="T137" s="67">
        <v>174.83097827330042</v>
      </c>
      <c r="U137" s="67">
        <v>177.33963881389303</v>
      </c>
      <c r="V137" s="67">
        <v>183.01619931294013</v>
      </c>
      <c r="W137" s="67">
        <v>185.7900928145099</v>
      </c>
      <c r="X137" s="67">
        <v>185.89424091907756</v>
      </c>
      <c r="Y137" s="67">
        <v>186.34761522371838</v>
      </c>
      <c r="Z137" s="67">
        <v>186.71725177228217</v>
      </c>
      <c r="AA137" s="67">
        <v>187.16226655185716</v>
      </c>
      <c r="AB137" s="67">
        <v>187.62689898791504</v>
      </c>
      <c r="AC137" s="67">
        <v>188.09282633032797</v>
      </c>
      <c r="AD137" s="67">
        <v>188.57107154548527</v>
      </c>
      <c r="AE137" s="67">
        <v>189.44684136763837</v>
      </c>
      <c r="AF137" s="67">
        <v>189.93960984654555</v>
      </c>
      <c r="AG137" s="67">
        <v>190.50435010582279</v>
      </c>
      <c r="AH137" s="67">
        <v>191.00848000526483</v>
      </c>
      <c r="AI137" s="67">
        <v>191.75577099727388</v>
      </c>
      <c r="AJ137" s="67">
        <v>192.72021049331329</v>
      </c>
      <c r="AK137" s="67">
        <v>193.70119235767402</v>
      </c>
      <c r="AL137" s="67">
        <v>194.81738715386243</v>
      </c>
      <c r="AM137" s="67">
        <v>195.69816080437232</v>
      </c>
      <c r="AN137" s="67">
        <v>196.78799017345384</v>
      </c>
      <c r="AO137" s="67">
        <v>197.67850295305041</v>
      </c>
      <c r="AP137" s="67">
        <v>198.59147831329477</v>
      </c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</row>
    <row r="138" spans="1:73" s="62" customFormat="1" ht="11.4" hidden="1" x14ac:dyDescent="0.25">
      <c r="A138" s="97" t="s">
        <v>115</v>
      </c>
      <c r="B138" s="62" t="s">
        <v>48</v>
      </c>
      <c r="C138" s="63"/>
      <c r="D138" s="65"/>
      <c r="E138" s="64"/>
      <c r="F138" s="65"/>
      <c r="G138" s="66" t="str">
        <f t="shared" si="34"/>
        <v>Þús. tonn CO₂-íg. | kt CO₂e</v>
      </c>
      <c r="H138" s="99">
        <v>0.26084385176349906</v>
      </c>
      <c r="I138" s="99">
        <v>0.29308932026344081</v>
      </c>
      <c r="J138" s="99">
        <v>0.20133471104672115</v>
      </c>
      <c r="K138" s="99">
        <v>0.19683138565954428</v>
      </c>
      <c r="L138" s="99">
        <v>0.27799099679299449</v>
      </c>
      <c r="M138" s="99">
        <v>0.19245496038309021</v>
      </c>
      <c r="N138" s="99">
        <v>0.31840224269389106</v>
      </c>
      <c r="O138" s="99">
        <v>0.27387351689864919</v>
      </c>
      <c r="P138" s="99">
        <v>0.3500994950882278</v>
      </c>
      <c r="Q138" s="99">
        <v>0.24751237566635195</v>
      </c>
      <c r="R138" s="99">
        <v>0.29640536642562504</v>
      </c>
      <c r="S138" s="99">
        <v>0.35962169139031031</v>
      </c>
      <c r="T138" s="99">
        <v>0.3890949818119252</v>
      </c>
      <c r="U138" s="99">
        <v>0.45730950622298727</v>
      </c>
      <c r="V138" s="99">
        <v>0.52033690678123889</v>
      </c>
      <c r="W138" s="99">
        <v>0.5183321987631645</v>
      </c>
      <c r="X138" s="99">
        <v>0.59360817719460546</v>
      </c>
      <c r="Y138" s="99">
        <v>0.60703138938342305</v>
      </c>
      <c r="Z138" s="99">
        <v>0.74724439559066791</v>
      </c>
      <c r="AA138" s="99">
        <v>0.79161432469421833</v>
      </c>
      <c r="AB138" s="99">
        <v>0.66996009587498306</v>
      </c>
      <c r="AC138" s="99">
        <v>0.5218477322247288</v>
      </c>
      <c r="AD138" s="99">
        <v>0.69307207209087607</v>
      </c>
      <c r="AE138" s="99">
        <v>0.35492050489520083</v>
      </c>
      <c r="AF138" s="99">
        <v>0.46122757708286927</v>
      </c>
      <c r="AG138" s="99">
        <v>0.40765059211791954</v>
      </c>
      <c r="AH138" s="99">
        <v>0.49230292333102887</v>
      </c>
      <c r="AI138" s="99">
        <v>0.48278840229341913</v>
      </c>
      <c r="AJ138" s="99">
        <v>0.30801666954180096</v>
      </c>
      <c r="AK138" s="99">
        <v>0.50453125097094786</v>
      </c>
      <c r="AL138" s="99">
        <v>0.44659805926594548</v>
      </c>
      <c r="AM138" s="99">
        <v>0.44410660190822532</v>
      </c>
      <c r="AN138" s="99">
        <v>0.51700080733591547</v>
      </c>
      <c r="AO138" s="99">
        <v>0.47983536148380607</v>
      </c>
      <c r="AP138" s="99">
        <v>0.31648147558255646</v>
      </c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</row>
    <row r="139" spans="1:73" s="31" customFormat="1" x14ac:dyDescent="0.4">
      <c r="A139" s="38"/>
      <c r="B139" s="47" t="s">
        <v>104</v>
      </c>
      <c r="C139" s="20"/>
      <c r="D139" s="15" t="s">
        <v>21</v>
      </c>
      <c r="E139" s="14" t="s">
        <v>145</v>
      </c>
      <c r="F139" s="15"/>
      <c r="G139" s="16" t="str">
        <f t="shared" si="34"/>
        <v>Þús. tonn CO₂-íg. | kt CO₂e</v>
      </c>
      <c r="H139" s="17">
        <f>SUM(H140:H142)</f>
        <v>165.66112161811006</v>
      </c>
      <c r="I139" s="17">
        <f t="shared" ref="I139:AO139" si="36">SUM(I140:I142)</f>
        <v>168.50566958645436</v>
      </c>
      <c r="J139" s="17">
        <f t="shared" si="36"/>
        <v>169.11655368390205</v>
      </c>
      <c r="K139" s="17">
        <f t="shared" si="36"/>
        <v>165.13044189439475</v>
      </c>
      <c r="L139" s="17">
        <f t="shared" si="36"/>
        <v>161.70479898280593</v>
      </c>
      <c r="M139" s="17">
        <f t="shared" si="36"/>
        <v>162.16854892859484</v>
      </c>
      <c r="N139" s="17">
        <f t="shared" si="36"/>
        <v>164.2226212668522</v>
      </c>
      <c r="O139" s="17">
        <f t="shared" si="36"/>
        <v>157.34039623068992</v>
      </c>
      <c r="P139" s="17">
        <f t="shared" si="36"/>
        <v>160.42679478856238</v>
      </c>
      <c r="Q139" s="17">
        <f t="shared" si="36"/>
        <v>157.17227914824636</v>
      </c>
      <c r="R139" s="17">
        <f t="shared" si="36"/>
        <v>152.85530445806086</v>
      </c>
      <c r="S139" s="17">
        <f t="shared" si="36"/>
        <v>149.94376811838379</v>
      </c>
      <c r="T139" s="17">
        <f t="shared" si="36"/>
        <v>144.98044785391232</v>
      </c>
      <c r="U139" s="17">
        <f t="shared" si="36"/>
        <v>142.03795592559393</v>
      </c>
      <c r="V139" s="17">
        <f t="shared" si="36"/>
        <v>139.32229711854197</v>
      </c>
      <c r="W139" s="17">
        <f t="shared" si="36"/>
        <v>140.66421427462785</v>
      </c>
      <c r="X139" s="17">
        <f t="shared" si="36"/>
        <v>147.64541826056484</v>
      </c>
      <c r="Y139" s="17">
        <f t="shared" si="36"/>
        <v>153.66533329397726</v>
      </c>
      <c r="Z139" s="17">
        <f t="shared" si="36"/>
        <v>156.7047809240232</v>
      </c>
      <c r="AA139" s="17">
        <f t="shared" si="36"/>
        <v>159.05047765810161</v>
      </c>
      <c r="AB139" s="17">
        <f t="shared" si="36"/>
        <v>155.2582288661873</v>
      </c>
      <c r="AC139" s="17">
        <f t="shared" si="36"/>
        <v>155.09931813939892</v>
      </c>
      <c r="AD139" s="17">
        <f t="shared" si="36"/>
        <v>148.62581773900101</v>
      </c>
      <c r="AE139" s="17">
        <f t="shared" si="36"/>
        <v>145.37662986314959</v>
      </c>
      <c r="AF139" s="17">
        <f t="shared" si="36"/>
        <v>158.12168807630195</v>
      </c>
      <c r="AG139" s="17">
        <f t="shared" si="36"/>
        <v>167.99231167838292</v>
      </c>
      <c r="AH139" s="17">
        <f t="shared" si="36"/>
        <v>169.97140038354377</v>
      </c>
      <c r="AI139" s="17">
        <f t="shared" si="36"/>
        <v>170.56431927775841</v>
      </c>
      <c r="AJ139" s="17">
        <f t="shared" si="36"/>
        <v>172.13946266841373</v>
      </c>
      <c r="AK139" s="17">
        <f t="shared" si="36"/>
        <v>172.63030221459647</v>
      </c>
      <c r="AL139" s="17">
        <f t="shared" si="36"/>
        <v>171.95824630517808</v>
      </c>
      <c r="AM139" s="17">
        <f t="shared" si="36"/>
        <v>173.53716890780782</v>
      </c>
      <c r="AN139" s="17">
        <f t="shared" si="36"/>
        <v>177.17434348459832</v>
      </c>
      <c r="AO139" s="17">
        <f t="shared" si="36"/>
        <v>172.36542036814296</v>
      </c>
      <c r="AP139" s="17">
        <f>SUM(AP140:AP142)</f>
        <v>169.57799558750742</v>
      </c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</row>
    <row r="140" spans="1:73" s="62" customFormat="1" ht="15" x14ac:dyDescent="0.35">
      <c r="A140" s="4" t="s">
        <v>66</v>
      </c>
      <c r="B140" s="47" t="s">
        <v>48</v>
      </c>
      <c r="C140" s="80"/>
      <c r="D140" s="58" t="s">
        <v>119</v>
      </c>
      <c r="E140" s="100" t="s">
        <v>232</v>
      </c>
      <c r="F140" s="58"/>
      <c r="G140" s="16" t="str">
        <f t="shared" si="34"/>
        <v>Þús. tonn CO₂-íg. | kt CO₂e</v>
      </c>
      <c r="H140" s="61">
        <v>127.8225225034985</v>
      </c>
      <c r="I140" s="61">
        <v>130.20046733868867</v>
      </c>
      <c r="J140" s="61">
        <v>131.23482594156397</v>
      </c>
      <c r="K140" s="61">
        <v>128.25620464566089</v>
      </c>
      <c r="L140" s="61">
        <v>125.71992732799035</v>
      </c>
      <c r="M140" s="61">
        <v>126.27860075326629</v>
      </c>
      <c r="N140" s="61">
        <v>128.17022322484581</v>
      </c>
      <c r="O140" s="61">
        <v>122.71332463720719</v>
      </c>
      <c r="P140" s="61">
        <v>124.97510577148563</v>
      </c>
      <c r="Q140" s="61">
        <v>122.82216218432094</v>
      </c>
      <c r="R140" s="61">
        <v>119.54835689917257</v>
      </c>
      <c r="S140" s="61">
        <v>117.43787289407872</v>
      </c>
      <c r="T140" s="61">
        <v>113.70032140063958</v>
      </c>
      <c r="U140" s="61">
        <v>111.51387782269413</v>
      </c>
      <c r="V140" s="61">
        <v>109.49261764591972</v>
      </c>
      <c r="W140" s="61">
        <v>110.66424245192374</v>
      </c>
      <c r="X140" s="61">
        <v>115.9840317106802</v>
      </c>
      <c r="Y140" s="61">
        <v>120.58122747450577</v>
      </c>
      <c r="Z140" s="61">
        <v>122.96680516101274</v>
      </c>
      <c r="AA140" s="61">
        <v>124.68940581167124</v>
      </c>
      <c r="AB140" s="61">
        <v>121.77131724415231</v>
      </c>
      <c r="AC140" s="61">
        <v>121.84657664008239</v>
      </c>
      <c r="AD140" s="61">
        <v>117.0466942662802</v>
      </c>
      <c r="AE140" s="61">
        <v>114.69873280163725</v>
      </c>
      <c r="AF140" s="61">
        <v>124.96316174859236</v>
      </c>
      <c r="AG140" s="61">
        <v>133.00189258933807</v>
      </c>
      <c r="AH140" s="61">
        <v>134.87073985981445</v>
      </c>
      <c r="AI140" s="61">
        <v>135.60942921488419</v>
      </c>
      <c r="AJ140" s="61">
        <v>137.28801915936918</v>
      </c>
      <c r="AK140" s="61">
        <v>137.48037337693233</v>
      </c>
      <c r="AL140" s="61">
        <v>137.30765004749293</v>
      </c>
      <c r="AM140" s="61">
        <v>138.06276555936432</v>
      </c>
      <c r="AN140" s="61">
        <v>140.1683300442557</v>
      </c>
      <c r="AO140" s="61">
        <v>137.19852598841419</v>
      </c>
      <c r="AP140" s="61">
        <v>135.0625079130406</v>
      </c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</row>
    <row r="141" spans="1:73" s="62" customFormat="1" ht="15" x14ac:dyDescent="0.35">
      <c r="A141" s="4" t="s">
        <v>67</v>
      </c>
      <c r="B141" s="47" t="s">
        <v>48</v>
      </c>
      <c r="C141" s="80"/>
      <c r="D141" s="58" t="s">
        <v>120</v>
      </c>
      <c r="E141" s="100" t="s">
        <v>233</v>
      </c>
      <c r="F141" s="58"/>
      <c r="G141" s="16" t="str">
        <f t="shared" si="34"/>
        <v>Þús. tonn CO₂-íg. | kt CO₂e</v>
      </c>
      <c r="H141" s="61">
        <v>37.695795633241275</v>
      </c>
      <c r="I141" s="61">
        <v>38.116271016047122</v>
      </c>
      <c r="J141" s="61">
        <v>37.68948222164871</v>
      </c>
      <c r="K141" s="61">
        <v>36.664062675818798</v>
      </c>
      <c r="L141" s="61">
        <v>35.765330103165873</v>
      </c>
      <c r="M141" s="61">
        <v>35.639760267610249</v>
      </c>
      <c r="N141" s="61">
        <v>35.766006932463135</v>
      </c>
      <c r="O141" s="61">
        <v>34.311185861900427</v>
      </c>
      <c r="P141" s="61">
        <v>35.094974234572717</v>
      </c>
      <c r="Q141" s="61">
        <v>33.965224283086954</v>
      </c>
      <c r="R141" s="61">
        <v>32.900063654971333</v>
      </c>
      <c r="S141" s="61">
        <v>32.081401397223345</v>
      </c>
      <c r="T141" s="61">
        <v>30.846743261244981</v>
      </c>
      <c r="U141" s="61">
        <v>30.067476502413161</v>
      </c>
      <c r="V141" s="61">
        <v>29.348320550327074</v>
      </c>
      <c r="W141" s="61">
        <v>29.520370403124701</v>
      </c>
      <c r="X141" s="61">
        <v>31.13197025591446</v>
      </c>
      <c r="Y141" s="61">
        <v>32.517163285290877</v>
      </c>
      <c r="Z141" s="61">
        <v>33.141850470020273</v>
      </c>
      <c r="AA141" s="61">
        <v>33.736561015544268</v>
      </c>
      <c r="AB141" s="61">
        <v>32.833430687951868</v>
      </c>
      <c r="AC141" s="61">
        <v>32.578058511027052</v>
      </c>
      <c r="AD141" s="61">
        <v>30.911659670789419</v>
      </c>
      <c r="AE141" s="61">
        <v>30.003943615004928</v>
      </c>
      <c r="AF141" s="61">
        <v>32.398558892277983</v>
      </c>
      <c r="AG141" s="61">
        <v>34.157909441011739</v>
      </c>
      <c r="AH141" s="61">
        <v>34.230408701625564</v>
      </c>
      <c r="AI141" s="61">
        <v>34.054020111234756</v>
      </c>
      <c r="AJ141" s="61">
        <v>33.923367268497657</v>
      </c>
      <c r="AK141" s="61">
        <v>34.221882557151133</v>
      </c>
      <c r="AL141" s="61">
        <v>33.716757887653493</v>
      </c>
      <c r="AM141" s="61">
        <v>34.536010574735727</v>
      </c>
      <c r="AN141" s="61">
        <v>36.083580188846632</v>
      </c>
      <c r="AO141" s="61">
        <v>34.248735417273771</v>
      </c>
      <c r="AP141" s="61">
        <v>33.617113274791024</v>
      </c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</row>
    <row r="142" spans="1:73" s="62" customFormat="1" ht="15" x14ac:dyDescent="0.35">
      <c r="A142" s="4" t="s">
        <v>68</v>
      </c>
      <c r="B142" s="47" t="s">
        <v>48</v>
      </c>
      <c r="C142" s="80"/>
      <c r="D142" s="58" t="s">
        <v>121</v>
      </c>
      <c r="E142" s="100" t="s">
        <v>234</v>
      </c>
      <c r="F142" s="58"/>
      <c r="G142" s="16" t="str">
        <f t="shared" si="34"/>
        <v>Þús. tonn CO₂-íg. | kt CO₂e</v>
      </c>
      <c r="H142" s="83">
        <v>0.14280348137029236</v>
      </c>
      <c r="I142" s="83">
        <v>0.18893123171857851</v>
      </c>
      <c r="J142" s="83">
        <v>0.19224552068937489</v>
      </c>
      <c r="K142" s="83">
        <v>0.2101745729150703</v>
      </c>
      <c r="L142" s="83">
        <v>0.21954155164969991</v>
      </c>
      <c r="M142" s="83">
        <v>0.2501879077182893</v>
      </c>
      <c r="N142" s="83">
        <v>0.28639110954324459</v>
      </c>
      <c r="O142" s="82">
        <v>0.3158857315822779</v>
      </c>
      <c r="P142" s="82">
        <v>0.35671478250403477</v>
      </c>
      <c r="Q142" s="82">
        <v>0.38489268083847555</v>
      </c>
      <c r="R142" s="82">
        <v>0.40688390391693652</v>
      </c>
      <c r="S142" s="82">
        <v>0.42449382708172639</v>
      </c>
      <c r="T142" s="82">
        <v>0.43338319202775083</v>
      </c>
      <c r="U142" s="82">
        <v>0.45660160048663867</v>
      </c>
      <c r="V142" s="82">
        <v>0.48135892229520028</v>
      </c>
      <c r="W142" s="82">
        <v>0.4796014195794101</v>
      </c>
      <c r="X142" s="82">
        <v>0.52941629397016277</v>
      </c>
      <c r="Y142" s="82">
        <v>0.56694253418062313</v>
      </c>
      <c r="Z142" s="82">
        <v>0.59612529299018746</v>
      </c>
      <c r="AA142" s="82">
        <v>0.62451083088610104</v>
      </c>
      <c r="AB142" s="82">
        <v>0.65348093408312846</v>
      </c>
      <c r="AC142" s="82">
        <v>0.67468298828947582</v>
      </c>
      <c r="AD142" s="82">
        <v>0.66746380193141652</v>
      </c>
      <c r="AE142" s="82">
        <v>0.67395344650739386</v>
      </c>
      <c r="AF142" s="82">
        <v>0.75996743543159262</v>
      </c>
      <c r="AG142" s="82">
        <v>0.8325096480331301</v>
      </c>
      <c r="AH142" s="82">
        <v>0.87025182210372742</v>
      </c>
      <c r="AI142" s="82">
        <v>0.90086995163945116</v>
      </c>
      <c r="AJ142" s="82">
        <v>0.92807624054687976</v>
      </c>
      <c r="AK142" s="82">
        <v>0.92804628051300053</v>
      </c>
      <c r="AL142" s="82">
        <v>0.93383837003166481</v>
      </c>
      <c r="AM142" s="82">
        <v>0.93839277370777752</v>
      </c>
      <c r="AN142" s="82">
        <v>0.92243325149598643</v>
      </c>
      <c r="AO142" s="82">
        <v>0.91815896245499617</v>
      </c>
      <c r="AP142" s="82">
        <v>0.89837439967577915</v>
      </c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</row>
    <row r="143" spans="1:73" s="31" customFormat="1" x14ac:dyDescent="0.4">
      <c r="A143" s="38"/>
      <c r="B143" s="47" t="s">
        <v>105</v>
      </c>
      <c r="C143" s="20"/>
      <c r="D143" s="15" t="s">
        <v>22</v>
      </c>
      <c r="E143" s="14" t="s">
        <v>146</v>
      </c>
      <c r="F143" s="15"/>
      <c r="G143" s="16" t="str">
        <f t="shared" si="34"/>
        <v>Þús. tonn CO₂-íg. | kt CO₂e</v>
      </c>
      <c r="H143" s="17">
        <f>SUM(H144:H146)</f>
        <v>208.93704438039322</v>
      </c>
      <c r="I143" s="17">
        <f t="shared" ref="I143:AO143" si="37">SUM(I144:I146)</f>
        <v>194.12117933966508</v>
      </c>
      <c r="J143" s="17">
        <f t="shared" si="37"/>
        <v>184.47522292753402</v>
      </c>
      <c r="K143" s="17">
        <f t="shared" si="37"/>
        <v>184.94209576182305</v>
      </c>
      <c r="L143" s="17">
        <f t="shared" si="37"/>
        <v>188.02102219399291</v>
      </c>
      <c r="M143" s="17">
        <f t="shared" si="37"/>
        <v>172.76643769173771</v>
      </c>
      <c r="N143" s="17">
        <f t="shared" si="37"/>
        <v>173.98496418821586</v>
      </c>
      <c r="O143" s="17">
        <f t="shared" si="37"/>
        <v>177.72921157166823</v>
      </c>
      <c r="P143" s="17">
        <f t="shared" si="37"/>
        <v>182.95119400508381</v>
      </c>
      <c r="Q143" s="17">
        <f t="shared" si="37"/>
        <v>181.9284090250469</v>
      </c>
      <c r="R143" s="17">
        <f t="shared" si="37"/>
        <v>173.8711737379036</v>
      </c>
      <c r="S143" s="17">
        <f t="shared" si="37"/>
        <v>176.06688235404826</v>
      </c>
      <c r="T143" s="17">
        <f t="shared" si="37"/>
        <v>174.85127714710677</v>
      </c>
      <c r="U143" s="17">
        <f t="shared" si="37"/>
        <v>172.32337540619926</v>
      </c>
      <c r="V143" s="17">
        <f t="shared" si="37"/>
        <v>168.86481251043389</v>
      </c>
      <c r="W143" s="17">
        <f t="shared" si="37"/>
        <v>168.17314441608258</v>
      </c>
      <c r="X143" s="17">
        <f t="shared" si="37"/>
        <v>169.05095127354593</v>
      </c>
      <c r="Y143" s="17">
        <f t="shared" si="37"/>
        <v>169.58031616571628</v>
      </c>
      <c r="Z143" s="17">
        <f t="shared" si="37"/>
        <v>170.95134811582651</v>
      </c>
      <c r="AA143" s="17">
        <f t="shared" si="37"/>
        <v>175.4313023403173</v>
      </c>
      <c r="AB143" s="17">
        <f t="shared" si="37"/>
        <v>178.8438749541771</v>
      </c>
      <c r="AC143" s="17">
        <f t="shared" si="37"/>
        <v>176.82814053881179</v>
      </c>
      <c r="AD143" s="17">
        <f t="shared" si="37"/>
        <v>175.73684666803598</v>
      </c>
      <c r="AE143" s="17">
        <f t="shared" si="37"/>
        <v>173.04393135143093</v>
      </c>
      <c r="AF143" s="17">
        <f t="shared" si="37"/>
        <v>179.47675326482496</v>
      </c>
      <c r="AG143" s="17">
        <f t="shared" si="37"/>
        <v>174.39207896563533</v>
      </c>
      <c r="AH143" s="17">
        <f t="shared" si="37"/>
        <v>175.18643039090159</v>
      </c>
      <c r="AI143" s="17">
        <f t="shared" si="37"/>
        <v>168.32534378160361</v>
      </c>
      <c r="AJ143" s="17">
        <f t="shared" si="37"/>
        <v>160.14618499336186</v>
      </c>
      <c r="AK143" s="17">
        <f t="shared" si="37"/>
        <v>148.90960657056172</v>
      </c>
      <c r="AL143" s="17">
        <f t="shared" si="37"/>
        <v>143.01820446109897</v>
      </c>
      <c r="AM143" s="17">
        <f t="shared" si="37"/>
        <v>142.32542515494026</v>
      </c>
      <c r="AN143" s="17">
        <f t="shared" si="37"/>
        <v>135.7502204954493</v>
      </c>
      <c r="AO143" s="17">
        <f t="shared" si="37"/>
        <v>132.46927345031494</v>
      </c>
      <c r="AP143" s="17">
        <f>SUM(AP144:AP146)</f>
        <v>125.94372494955719</v>
      </c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</row>
    <row r="144" spans="1:73" s="62" customFormat="1" ht="15" x14ac:dyDescent="0.35">
      <c r="A144" s="4" t="s">
        <v>69</v>
      </c>
      <c r="B144" s="47" t="s">
        <v>48</v>
      </c>
      <c r="C144" s="80"/>
      <c r="D144" s="58" t="s">
        <v>119</v>
      </c>
      <c r="E144" s="100" t="s">
        <v>232</v>
      </c>
      <c r="F144" s="58"/>
      <c r="G144" s="16" t="str">
        <f t="shared" si="34"/>
        <v>Þús. tonn CO₂-íg. | kt CO₂e</v>
      </c>
      <c r="H144" s="61">
        <v>188.00439912935994</v>
      </c>
      <c r="I144" s="61">
        <v>174.70210497241752</v>
      </c>
      <c r="J144" s="61">
        <v>166.02428473898127</v>
      </c>
      <c r="K144" s="61">
        <v>166.51649205845121</v>
      </c>
      <c r="L144" s="61">
        <v>169.27879014430533</v>
      </c>
      <c r="M144" s="61">
        <v>155.63866973780176</v>
      </c>
      <c r="N144" s="61">
        <v>156.71993827465158</v>
      </c>
      <c r="O144" s="61">
        <v>160.06573717798997</v>
      </c>
      <c r="P144" s="61">
        <v>164.72440879592432</v>
      </c>
      <c r="Q144" s="61">
        <v>164.00496076560285</v>
      </c>
      <c r="R144" s="61">
        <v>156.71903391127935</v>
      </c>
      <c r="S144" s="61">
        <v>158.72190844550738</v>
      </c>
      <c r="T144" s="61">
        <v>157.63750436900744</v>
      </c>
      <c r="U144" s="61">
        <v>155.41041823628268</v>
      </c>
      <c r="V144" s="61">
        <v>152.20026808740189</v>
      </c>
      <c r="W144" s="61">
        <v>151.78484255798872</v>
      </c>
      <c r="X144" s="61">
        <v>152.46227468585346</v>
      </c>
      <c r="Y144" s="61">
        <v>152.99879360260564</v>
      </c>
      <c r="Z144" s="61">
        <v>154.22498521388832</v>
      </c>
      <c r="AA144" s="61">
        <v>158.26362478888589</v>
      </c>
      <c r="AB144" s="61">
        <v>161.2952671264278</v>
      </c>
      <c r="AC144" s="61">
        <v>159.63272972556618</v>
      </c>
      <c r="AD144" s="61">
        <v>158.74189859256498</v>
      </c>
      <c r="AE144" s="61">
        <v>156.40976703376811</v>
      </c>
      <c r="AF144" s="61">
        <v>162.33660937322264</v>
      </c>
      <c r="AG144" s="61">
        <v>157.89581363226904</v>
      </c>
      <c r="AH144" s="61">
        <v>158.75095843810271</v>
      </c>
      <c r="AI144" s="61">
        <v>152.60758635904031</v>
      </c>
      <c r="AJ144" s="61">
        <v>145.40132923651879</v>
      </c>
      <c r="AK144" s="61">
        <v>135.08725109923617</v>
      </c>
      <c r="AL144" s="61">
        <v>129.76443532869541</v>
      </c>
      <c r="AM144" s="61">
        <v>128.9252019167445</v>
      </c>
      <c r="AN144" s="61">
        <v>122.93088207187617</v>
      </c>
      <c r="AO144" s="61">
        <v>120.01966695715942</v>
      </c>
      <c r="AP144" s="61">
        <v>114.29974592241815</v>
      </c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</row>
    <row r="145" spans="1:73" s="62" customFormat="1" ht="15" x14ac:dyDescent="0.35">
      <c r="A145" s="4" t="s">
        <v>70</v>
      </c>
      <c r="B145" s="47" t="s">
        <v>48</v>
      </c>
      <c r="C145" s="80"/>
      <c r="D145" s="58" t="s">
        <v>120</v>
      </c>
      <c r="E145" s="100" t="s">
        <v>233</v>
      </c>
      <c r="F145" s="58"/>
      <c r="G145" s="16" t="str">
        <f t="shared" si="34"/>
        <v>Þús. tonn CO₂-íg. | kt CO₂e</v>
      </c>
      <c r="H145" s="82">
        <v>15.131735829108711</v>
      </c>
      <c r="I145" s="82">
        <v>13.99785610226256</v>
      </c>
      <c r="J145" s="82">
        <v>13.260063045350195</v>
      </c>
      <c r="K145" s="82">
        <v>13.204523912356333</v>
      </c>
      <c r="L145" s="82">
        <v>13.390661035383713</v>
      </c>
      <c r="M145" s="82">
        <v>12.20343673636048</v>
      </c>
      <c r="N145" s="82">
        <v>12.262935217270341</v>
      </c>
      <c r="O145" s="82">
        <v>12.505018609461127</v>
      </c>
      <c r="P145" s="82">
        <v>12.909633551208785</v>
      </c>
      <c r="Q145" s="82">
        <v>12.610100788181562</v>
      </c>
      <c r="R145" s="82">
        <v>12.048328761518926</v>
      </c>
      <c r="S145" s="82">
        <v>12.136064764281693</v>
      </c>
      <c r="T145" s="82">
        <v>12.012245672992723</v>
      </c>
      <c r="U145" s="82">
        <v>11.765427135736925</v>
      </c>
      <c r="V145" s="82">
        <v>11.455088977105735</v>
      </c>
      <c r="W145" s="82">
        <v>11.440806394921337</v>
      </c>
      <c r="X145" s="82">
        <v>11.544172841014497</v>
      </c>
      <c r="Y145" s="82">
        <v>11.617546709436024</v>
      </c>
      <c r="Z145" s="82">
        <v>11.740859496913785</v>
      </c>
      <c r="AA145" s="82">
        <v>12.114814949659852</v>
      </c>
      <c r="AB145" s="82">
        <v>12.331992452985849</v>
      </c>
      <c r="AC145" s="82">
        <v>12.074280697463866</v>
      </c>
      <c r="AD145" s="82">
        <v>11.91177142013313</v>
      </c>
      <c r="AE145" s="82">
        <v>11.644410760496667</v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10.947681972834388</v>
      </c>
      <c r="AJ145" s="82">
        <v>10.267690140466947</v>
      </c>
      <c r="AK145" s="82">
        <v>9.596583764996419</v>
      </c>
      <c r="AL145" s="82">
        <v>9.2062276078177963</v>
      </c>
      <c r="AM145" s="82">
        <v>9.3770479570829153</v>
      </c>
      <c r="AN145" s="82">
        <v>8.9689158178451098</v>
      </c>
      <c r="AO145" s="82">
        <v>8.7149176905553407</v>
      </c>
      <c r="AP145" s="82">
        <v>8.090369598278329</v>
      </c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</row>
    <row r="146" spans="1:73" s="62" customFormat="1" ht="15" x14ac:dyDescent="0.35">
      <c r="A146" s="4" t="s">
        <v>71</v>
      </c>
      <c r="B146" s="47" t="s">
        <v>48</v>
      </c>
      <c r="C146" s="80"/>
      <c r="D146" s="58" t="s">
        <v>121</v>
      </c>
      <c r="E146" s="100" t="s">
        <v>234</v>
      </c>
      <c r="F146" s="58"/>
      <c r="G146" s="16" t="str">
        <f t="shared" si="34"/>
        <v>Þús. tonn CO₂-íg. | kt CO₂e</v>
      </c>
      <c r="H146" s="82">
        <v>5.8009094219245529</v>
      </c>
      <c r="I146" s="82">
        <v>5.4212182649850078</v>
      </c>
      <c r="J146" s="82">
        <v>5.1908751432025504</v>
      </c>
      <c r="K146" s="82">
        <v>5.2210797910155193</v>
      </c>
      <c r="L146" s="82">
        <v>5.3515710143038433</v>
      </c>
      <c r="M146" s="82">
        <v>4.9243312175754683</v>
      </c>
      <c r="N146" s="82">
        <v>5.0020906962939273</v>
      </c>
      <c r="O146" s="82">
        <v>5.1584557842171357</v>
      </c>
      <c r="P146" s="82">
        <v>5.3171516579506974</v>
      </c>
      <c r="Q146" s="82">
        <v>5.3133474712625004</v>
      </c>
      <c r="R146" s="82">
        <v>5.1038110651053348</v>
      </c>
      <c r="S146" s="82">
        <v>5.2089091442592039</v>
      </c>
      <c r="T146" s="82">
        <v>5.2015271051065923</v>
      </c>
      <c r="U146" s="82">
        <v>5.1475300341796464</v>
      </c>
      <c r="V146" s="82">
        <v>5.2094554459262756</v>
      </c>
      <c r="W146" s="82">
        <v>4.9474954631725048</v>
      </c>
      <c r="X146" s="82">
        <v>5.0445037466779805</v>
      </c>
      <c r="Y146" s="82">
        <v>4.9639758536746097</v>
      </c>
      <c r="Z146" s="82">
        <v>4.9855034050244003</v>
      </c>
      <c r="AA146" s="82">
        <v>5.0528626017715395</v>
      </c>
      <c r="AB146" s="82">
        <v>5.2166153747634372</v>
      </c>
      <c r="AC146" s="82">
        <v>5.1211301157817415</v>
      </c>
      <c r="AD146" s="82">
        <v>5.0831766553378745</v>
      </c>
      <c r="AE146" s="82">
        <v>4.9897535571661642</v>
      </c>
      <c r="AF146" s="82">
        <v>5.1526845576494802</v>
      </c>
      <c r="AG146" s="82">
        <v>4.9676154752646795</v>
      </c>
      <c r="AH146" s="82">
        <v>4.9622556039583507</v>
      </c>
      <c r="AI146" s="82">
        <v>4.7700754497289299</v>
      </c>
      <c r="AJ146" s="82">
        <v>4.4771656163761158</v>
      </c>
      <c r="AK146" s="82">
        <v>4.2257717063291356</v>
      </c>
      <c r="AL146" s="82">
        <v>4.0475415245857791</v>
      </c>
      <c r="AM146" s="82">
        <v>4.0231752811128638</v>
      </c>
      <c r="AN146" s="82">
        <v>3.8504226057280304</v>
      </c>
      <c r="AO146" s="82">
        <v>3.7346888026001763</v>
      </c>
      <c r="AP146" s="82">
        <v>3.5536094288607063</v>
      </c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</row>
    <row r="147" spans="1:73" s="31" customFormat="1" x14ac:dyDescent="0.4">
      <c r="A147" s="38"/>
      <c r="B147" s="47" t="s">
        <v>106</v>
      </c>
      <c r="C147" s="5" t="s">
        <v>48</v>
      </c>
      <c r="D147" s="15" t="s">
        <v>23</v>
      </c>
      <c r="E147" s="14" t="s">
        <v>147</v>
      </c>
      <c r="F147" s="15"/>
      <c r="G147" s="16" t="str">
        <f t="shared" si="34"/>
        <v>Þús. tonn CO₂-íg. | kt CO₂e</v>
      </c>
      <c r="H147" s="17">
        <f>SUM(H148:H150)</f>
        <v>28.856858965696219</v>
      </c>
      <c r="I147" s="17">
        <f t="shared" ref="I147:AO147" si="38">SUM(I148:I150)</f>
        <v>29.637917698303077</v>
      </c>
      <c r="J147" s="17">
        <f t="shared" si="38"/>
        <v>30.065885064956468</v>
      </c>
      <c r="K147" s="17">
        <f t="shared" si="38"/>
        <v>30.685524129499751</v>
      </c>
      <c r="L147" s="17">
        <f t="shared" si="38"/>
        <v>31.345733761060597</v>
      </c>
      <c r="M147" s="17">
        <f t="shared" si="38"/>
        <v>31.280543961615876</v>
      </c>
      <c r="N147" s="17">
        <f t="shared" si="38"/>
        <v>32.091649413910709</v>
      </c>
      <c r="O147" s="17">
        <f t="shared" si="38"/>
        <v>31.816197318097522</v>
      </c>
      <c r="P147" s="17">
        <f t="shared" si="38"/>
        <v>31.705676165194941</v>
      </c>
      <c r="Q147" s="17">
        <f t="shared" si="38"/>
        <v>31.039802229199488</v>
      </c>
      <c r="R147" s="17">
        <f t="shared" si="38"/>
        <v>29.583111812050767</v>
      </c>
      <c r="S147" s="17">
        <f t="shared" si="38"/>
        <v>29.695054532344781</v>
      </c>
      <c r="T147" s="17">
        <f t="shared" si="38"/>
        <v>28.465347673563389</v>
      </c>
      <c r="U147" s="17">
        <f t="shared" si="38"/>
        <v>28.765137603537266</v>
      </c>
      <c r="V147" s="17">
        <f t="shared" si="38"/>
        <v>29.036866146439124</v>
      </c>
      <c r="W147" s="17">
        <f t="shared" si="38"/>
        <v>30.01989692852823</v>
      </c>
      <c r="X147" s="17">
        <f t="shared" si="38"/>
        <v>30.320977028024242</v>
      </c>
      <c r="Y147" s="17">
        <f t="shared" si="38"/>
        <v>30.791591354731743</v>
      </c>
      <c r="Z147" s="17">
        <f t="shared" si="38"/>
        <v>31.146561057354372</v>
      </c>
      <c r="AA147" s="17">
        <f t="shared" si="38"/>
        <v>30.88485592679833</v>
      </c>
      <c r="AB147" s="17">
        <f t="shared" si="38"/>
        <v>30.824852177953996</v>
      </c>
      <c r="AC147" s="17">
        <f t="shared" si="38"/>
        <v>31.270928595429108</v>
      </c>
      <c r="AD147" s="17">
        <f t="shared" si="38"/>
        <v>30.96658899741459</v>
      </c>
      <c r="AE147" s="17">
        <f t="shared" si="38"/>
        <v>30.014140279220655</v>
      </c>
      <c r="AF147" s="17">
        <f t="shared" si="38"/>
        <v>31.212971740062237</v>
      </c>
      <c r="AG147" s="17">
        <f t="shared" si="38"/>
        <v>31.067569904931791</v>
      </c>
      <c r="AH147" s="17">
        <f t="shared" si="38"/>
        <v>31.031019351880648</v>
      </c>
      <c r="AI147" s="17">
        <f t="shared" si="38"/>
        <v>30.210499454736265</v>
      </c>
      <c r="AJ147" s="17">
        <f t="shared" si="38"/>
        <v>27.205483729980699</v>
      </c>
      <c r="AK147" s="17">
        <f t="shared" si="38"/>
        <v>28.303494358719895</v>
      </c>
      <c r="AL147" s="17">
        <f t="shared" si="38"/>
        <v>28.733296847518336</v>
      </c>
      <c r="AM147" s="17">
        <f t="shared" si="38"/>
        <v>27.617411130790618</v>
      </c>
      <c r="AN147" s="17">
        <f t="shared" si="38"/>
        <v>27.401309320780232</v>
      </c>
      <c r="AO147" s="17">
        <f t="shared" si="38"/>
        <v>26.793422932991756</v>
      </c>
      <c r="AP147" s="17">
        <f>SUM(AP148:AP150)</f>
        <v>24.817131861593037</v>
      </c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</row>
    <row r="148" spans="1:73" s="62" customFormat="1" x14ac:dyDescent="0.35">
      <c r="A148" s="4" t="s">
        <v>72</v>
      </c>
      <c r="B148" s="47" t="s">
        <v>48</v>
      </c>
      <c r="C148" s="5" t="s">
        <v>48</v>
      </c>
      <c r="D148" s="58" t="s">
        <v>119</v>
      </c>
      <c r="E148" s="100" t="s">
        <v>232</v>
      </c>
      <c r="F148" s="58"/>
      <c r="G148" s="16" t="str">
        <f t="shared" si="34"/>
        <v>Þús. tonn CO₂-íg. | kt CO₂e</v>
      </c>
      <c r="H148" s="61">
        <v>27.091705501743526</v>
      </c>
      <c r="I148" s="61">
        <v>27.838801523634892</v>
      </c>
      <c r="J148" s="61">
        <v>28.254710649223902</v>
      </c>
      <c r="K148" s="61">
        <v>28.836396604412762</v>
      </c>
      <c r="L148" s="61">
        <v>29.483366355329</v>
      </c>
      <c r="M148" s="61">
        <v>29.431163769606925</v>
      </c>
      <c r="N148" s="61">
        <v>30.172330457991215</v>
      </c>
      <c r="O148" s="61">
        <v>29.898511391548539</v>
      </c>
      <c r="P148" s="61">
        <v>29.780719374351303</v>
      </c>
      <c r="Q148" s="61">
        <v>29.12610872974038</v>
      </c>
      <c r="R148" s="61">
        <v>27.738216799038078</v>
      </c>
      <c r="S148" s="61">
        <v>27.82358086339508</v>
      </c>
      <c r="T148" s="61">
        <v>26.652170732850553</v>
      </c>
      <c r="U148" s="61">
        <v>26.916851290434387</v>
      </c>
      <c r="V148" s="61">
        <v>27.192840370686351</v>
      </c>
      <c r="W148" s="61">
        <v>28.104582369910759</v>
      </c>
      <c r="X148" s="61">
        <v>28.410462626296329</v>
      </c>
      <c r="Y148" s="61">
        <v>28.860694646361853</v>
      </c>
      <c r="Z148" s="61">
        <v>29.208508127343844</v>
      </c>
      <c r="AA148" s="61">
        <v>28.964824745633003</v>
      </c>
      <c r="AB148" s="61">
        <v>28.91900994703968</v>
      </c>
      <c r="AC148" s="61">
        <v>29.320217993160121</v>
      </c>
      <c r="AD148" s="61">
        <v>29.038553220938713</v>
      </c>
      <c r="AE148" s="61">
        <v>28.145405680672049</v>
      </c>
      <c r="AF148" s="61">
        <v>29.269595728904051</v>
      </c>
      <c r="AG148" s="61">
        <v>29.133246874717685</v>
      </c>
      <c r="AH148" s="61">
        <v>29.098972025133214</v>
      </c>
      <c r="AI148" s="61">
        <v>28.329539179169601</v>
      </c>
      <c r="AJ148" s="61">
        <v>25.51162116242072</v>
      </c>
      <c r="AK148" s="61">
        <v>26.541267665704037</v>
      </c>
      <c r="AL148" s="61">
        <v>26.94430987505126</v>
      </c>
      <c r="AM148" s="61">
        <v>25.897901219051448</v>
      </c>
      <c r="AN148" s="61">
        <v>25.695254298150616</v>
      </c>
      <c r="AO148" s="61">
        <v>25.125216015098072</v>
      </c>
      <c r="AP148" s="61">
        <v>23.271972396252323</v>
      </c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</row>
    <row r="149" spans="1:73" s="62" customFormat="1" x14ac:dyDescent="0.35">
      <c r="A149" s="4" t="s">
        <v>73</v>
      </c>
      <c r="B149" s="47" t="s">
        <v>48</v>
      </c>
      <c r="C149" s="5" t="s">
        <v>48</v>
      </c>
      <c r="D149" s="58" t="s">
        <v>120</v>
      </c>
      <c r="E149" s="100" t="s">
        <v>233</v>
      </c>
      <c r="F149" s="58"/>
      <c r="G149" s="16" t="str">
        <f t="shared" si="34"/>
        <v>Þús. tonn CO₂-íg. | kt CO₂e</v>
      </c>
      <c r="H149" s="82">
        <v>1.2210998455586393</v>
      </c>
      <c r="I149" s="82">
        <v>1.2474707897555559</v>
      </c>
      <c r="J149" s="82">
        <v>1.2577972816161664</v>
      </c>
      <c r="K149" s="82">
        <v>1.2844554266633055</v>
      </c>
      <c r="L149" s="82">
        <v>1.2980007683755002</v>
      </c>
      <c r="M149" s="82">
        <v>1.2908082978895419</v>
      </c>
      <c r="N149" s="82">
        <v>1.3372352417823197</v>
      </c>
      <c r="O149" s="82">
        <v>1.3341232236986111</v>
      </c>
      <c r="P149" s="82">
        <v>1.337686598763667</v>
      </c>
      <c r="Q149" s="82">
        <v>1.326272970620209</v>
      </c>
      <c r="R149" s="82">
        <v>1.2752751325507083</v>
      </c>
      <c r="S149" s="82">
        <v>1.2910037218551669</v>
      </c>
      <c r="T149" s="82">
        <v>1.2466332171147363</v>
      </c>
      <c r="U149" s="82">
        <v>1.267516077322931</v>
      </c>
      <c r="V149" s="82">
        <v>1.2667760719064309</v>
      </c>
      <c r="W149" s="82">
        <v>1.3149461975725838</v>
      </c>
      <c r="X149" s="82">
        <v>1.314035666651264</v>
      </c>
      <c r="Y149" s="82">
        <v>1.3298163690132225</v>
      </c>
      <c r="Z149" s="82">
        <v>1.3359188080464723</v>
      </c>
      <c r="AA149" s="82">
        <v>1.3247049466234306</v>
      </c>
      <c r="AB149" s="82">
        <v>1.3164942448973194</v>
      </c>
      <c r="AC149" s="82">
        <v>1.3458003122994309</v>
      </c>
      <c r="AD149" s="82">
        <v>1.3298068774187264</v>
      </c>
      <c r="AE149" s="82">
        <v>1.2889056061825344</v>
      </c>
      <c r="AF149" s="82">
        <v>1.3403873603281453</v>
      </c>
      <c r="AG149" s="82">
        <v>1.3341433287248607</v>
      </c>
      <c r="AH149" s="82">
        <v>1.3325737281199985</v>
      </c>
      <c r="AI149" s="82">
        <v>1.2973379130816483</v>
      </c>
      <c r="AJ149" s="82">
        <v>1.1682926837906533</v>
      </c>
      <c r="AK149" s="82">
        <v>1.2154448607933623</v>
      </c>
      <c r="AL149" s="82">
        <v>1.2339019890738967</v>
      </c>
      <c r="AM149" s="82">
        <v>1.1859821971768383</v>
      </c>
      <c r="AN149" s="82">
        <v>1.1767020768123237</v>
      </c>
      <c r="AO149" s="82">
        <v>1.150597441935107</v>
      </c>
      <c r="AP149" s="82">
        <v>1.0657290226608163</v>
      </c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</row>
    <row r="150" spans="1:73" s="62" customFormat="1" x14ac:dyDescent="0.25">
      <c r="A150" s="4" t="s">
        <v>74</v>
      </c>
      <c r="B150" s="62" t="s">
        <v>48</v>
      </c>
      <c r="C150" s="5" t="s">
        <v>48</v>
      </c>
      <c r="D150" s="58" t="s">
        <v>121</v>
      </c>
      <c r="E150" s="100" t="s">
        <v>234</v>
      </c>
      <c r="F150" s="58"/>
      <c r="G150" s="16" t="str">
        <f t="shared" si="34"/>
        <v>Þús. tonn CO₂-íg. | kt CO₂e</v>
      </c>
      <c r="H150" s="101">
        <v>0.54405361839405342</v>
      </c>
      <c r="I150" s="101">
        <v>0.55164538491263015</v>
      </c>
      <c r="J150" s="101">
        <v>0.55337713411639922</v>
      </c>
      <c r="K150" s="101">
        <v>0.56467209842368038</v>
      </c>
      <c r="L150" s="101">
        <v>0.56436663735609771</v>
      </c>
      <c r="M150" s="101">
        <v>0.55857189411941011</v>
      </c>
      <c r="N150" s="101">
        <v>0.58208371413717286</v>
      </c>
      <c r="O150" s="101">
        <v>0.58356270285037304</v>
      </c>
      <c r="P150" s="101">
        <v>0.587270192079971</v>
      </c>
      <c r="Q150" s="101">
        <v>0.5874205288388975</v>
      </c>
      <c r="R150" s="101">
        <v>0.56961988046198031</v>
      </c>
      <c r="S150" s="101">
        <v>0.58046994709453481</v>
      </c>
      <c r="T150" s="101">
        <v>0.56654372359809657</v>
      </c>
      <c r="U150" s="101">
        <v>0.58077023577994868</v>
      </c>
      <c r="V150" s="101">
        <v>0.57724970384634289</v>
      </c>
      <c r="W150" s="101">
        <v>0.60036836104488689</v>
      </c>
      <c r="X150" s="101">
        <v>0.59647873507664628</v>
      </c>
      <c r="Y150" s="101">
        <v>0.6010803393566676</v>
      </c>
      <c r="Z150" s="101">
        <v>0.60213412196405758</v>
      </c>
      <c r="AA150" s="101">
        <v>0.59532623454189781</v>
      </c>
      <c r="AB150" s="101">
        <v>0.58934798601699623</v>
      </c>
      <c r="AC150" s="101">
        <v>0.60491028996955643</v>
      </c>
      <c r="AD150" s="101">
        <v>0.59822889905715293</v>
      </c>
      <c r="AE150" s="101">
        <v>0.57982899236606977</v>
      </c>
      <c r="AF150" s="101">
        <v>0.60298865083004249</v>
      </c>
      <c r="AG150" s="101">
        <v>0.60017970148924693</v>
      </c>
      <c r="AH150" s="101">
        <v>0.5994735986274321</v>
      </c>
      <c r="AI150" s="101">
        <v>0.58362236248501553</v>
      </c>
      <c r="AJ150" s="101">
        <v>0.52556988376932467</v>
      </c>
      <c r="AK150" s="101">
        <v>0.54678183222249632</v>
      </c>
      <c r="AL150" s="101">
        <v>0.55508498339317836</v>
      </c>
      <c r="AM150" s="101">
        <v>0.53352771456233117</v>
      </c>
      <c r="AN150" s="101">
        <v>0.52935294581729531</v>
      </c>
      <c r="AO150" s="101">
        <v>0.51760947595857476</v>
      </c>
      <c r="AP150" s="101">
        <v>0.47943044267989998</v>
      </c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</row>
    <row r="151" spans="1:73" s="31" customFormat="1" x14ac:dyDescent="0.4">
      <c r="A151" s="38" t="s">
        <v>75</v>
      </c>
      <c r="B151" s="47" t="s">
        <v>75</v>
      </c>
      <c r="C151" s="5" t="s">
        <v>48</v>
      </c>
      <c r="D151" s="15" t="s">
        <v>220</v>
      </c>
      <c r="E151" s="14" t="s">
        <v>246</v>
      </c>
      <c r="F151" s="15"/>
      <c r="G151" s="16" t="str">
        <f t="shared" si="34"/>
        <v>Þús. tonn CO₂-íg. | kt CO₂e</v>
      </c>
      <c r="H151" s="17">
        <v>134.08209935015935</v>
      </c>
      <c r="I151" s="17">
        <v>142.13724247882615</v>
      </c>
      <c r="J151" s="17">
        <v>147.84111388242457</v>
      </c>
      <c r="K151" s="17">
        <v>150.90871303630436</v>
      </c>
      <c r="L151" s="17">
        <v>156.15640696500481</v>
      </c>
      <c r="M151" s="17">
        <v>159.15642326070846</v>
      </c>
      <c r="N151" s="17">
        <v>162.78481898050404</v>
      </c>
      <c r="O151" s="17">
        <v>164.89366159054333</v>
      </c>
      <c r="P151" s="17">
        <v>169.58842067120813</v>
      </c>
      <c r="Q151" s="17">
        <v>170.48307561886736</v>
      </c>
      <c r="R151" s="17">
        <v>172.18323227492695</v>
      </c>
      <c r="S151" s="17">
        <v>172.45520802393111</v>
      </c>
      <c r="T151" s="17">
        <v>174.83097827330042</v>
      </c>
      <c r="U151" s="17">
        <v>177.33963881389303</v>
      </c>
      <c r="V151" s="17">
        <v>183.01619931294013</v>
      </c>
      <c r="W151" s="17">
        <v>185.7900928145099</v>
      </c>
      <c r="X151" s="17">
        <v>185.89424091907756</v>
      </c>
      <c r="Y151" s="17">
        <v>186.34761522371838</v>
      </c>
      <c r="Z151" s="17">
        <v>186.71725177228217</v>
      </c>
      <c r="AA151" s="17">
        <v>187.16226655185716</v>
      </c>
      <c r="AB151" s="17">
        <v>187.62689898791504</v>
      </c>
      <c r="AC151" s="17">
        <v>188.09282633032797</v>
      </c>
      <c r="AD151" s="17">
        <v>188.57107154548527</v>
      </c>
      <c r="AE151" s="17">
        <v>189.44684136763837</v>
      </c>
      <c r="AF151" s="17">
        <v>189.93960984654555</v>
      </c>
      <c r="AG151" s="17">
        <v>190.50435010582279</v>
      </c>
      <c r="AH151" s="17">
        <v>191.00848000526483</v>
      </c>
      <c r="AI151" s="17">
        <v>191.75577099727388</v>
      </c>
      <c r="AJ151" s="17">
        <v>192.72021049331329</v>
      </c>
      <c r="AK151" s="17">
        <v>193.70119235767402</v>
      </c>
      <c r="AL151" s="17">
        <v>194.81738715386243</v>
      </c>
      <c r="AM151" s="17">
        <v>195.69816080437232</v>
      </c>
      <c r="AN151" s="17">
        <v>196.78799017345384</v>
      </c>
      <c r="AO151" s="17">
        <v>197.67850295305041</v>
      </c>
      <c r="AP151" s="17">
        <v>198.59147831329477</v>
      </c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</row>
    <row r="152" spans="1:73" s="31" customFormat="1" x14ac:dyDescent="0.4">
      <c r="A152" s="38"/>
      <c r="B152" s="47" t="s">
        <v>107</v>
      </c>
      <c r="C152" s="5" t="s">
        <v>48</v>
      </c>
      <c r="D152" s="15" t="s">
        <v>24</v>
      </c>
      <c r="E152" s="14" t="s">
        <v>189</v>
      </c>
      <c r="F152" s="15"/>
      <c r="G152" s="16" t="str">
        <f t="shared" si="34"/>
        <v>Þús. tonn CO₂-íg. | kt CO₂e</v>
      </c>
      <c r="H152" s="17">
        <f>H153-SUM(H132,H139,H143,H147,H151)</f>
        <v>23.446871041313329</v>
      </c>
      <c r="I152" s="17">
        <f t="shared" ref="I152:AO152" si="39">I153-SUM(I132,I139,I143,I147,I151)</f>
        <v>21.687253518082798</v>
      </c>
      <c r="J152" s="17">
        <f t="shared" si="39"/>
        <v>19.418630985253458</v>
      </c>
      <c r="K152" s="17">
        <f t="shared" si="39"/>
        <v>19.96343570126362</v>
      </c>
      <c r="L152" s="17">
        <f t="shared" si="39"/>
        <v>19.991190086327492</v>
      </c>
      <c r="M152" s="17">
        <f t="shared" si="39"/>
        <v>19.753152637865469</v>
      </c>
      <c r="N152" s="17">
        <f t="shared" si="39"/>
        <v>20.025294133480998</v>
      </c>
      <c r="O152" s="17">
        <f t="shared" si="39"/>
        <v>19.937051174457565</v>
      </c>
      <c r="P152" s="17">
        <f t="shared" si="39"/>
        <v>21.263695941239348</v>
      </c>
      <c r="Q152" s="17">
        <f t="shared" si="39"/>
        <v>20.912240517917894</v>
      </c>
      <c r="R152" s="17">
        <f t="shared" si="39"/>
        <v>21.584386481687716</v>
      </c>
      <c r="S152" s="17">
        <f t="shared" si="39"/>
        <v>23.832921023741164</v>
      </c>
      <c r="T152" s="17">
        <f t="shared" si="39"/>
        <v>22.932889490529874</v>
      </c>
      <c r="U152" s="17">
        <f t="shared" si="39"/>
        <v>22.288407040323818</v>
      </c>
      <c r="V152" s="17">
        <f t="shared" si="39"/>
        <v>22.235263807070396</v>
      </c>
      <c r="W152" s="17">
        <f t="shared" si="39"/>
        <v>23.110969637700236</v>
      </c>
      <c r="X152" s="17">
        <f t="shared" si="39"/>
        <v>25.795689257184563</v>
      </c>
      <c r="Y152" s="17">
        <f t="shared" si="39"/>
        <v>26.517188046912679</v>
      </c>
      <c r="Z152" s="17">
        <f t="shared" si="39"/>
        <v>26.072058643636183</v>
      </c>
      <c r="AA152" s="17">
        <f t="shared" si="39"/>
        <v>25.170889111586689</v>
      </c>
      <c r="AB152" s="17">
        <f t="shared" si="39"/>
        <v>22.807305963511908</v>
      </c>
      <c r="AC152" s="17">
        <f t="shared" si="39"/>
        <v>24.408160640226697</v>
      </c>
      <c r="AD152" s="17">
        <f t="shared" si="39"/>
        <v>21.32343678290772</v>
      </c>
      <c r="AE152" s="17">
        <f t="shared" si="39"/>
        <v>20.952249106329077</v>
      </c>
      <c r="AF152" s="17">
        <f t="shared" si="39"/>
        <v>23.101101906960707</v>
      </c>
      <c r="AG152" s="17">
        <f t="shared" si="39"/>
        <v>24.285381628054211</v>
      </c>
      <c r="AH152" s="17">
        <f t="shared" si="39"/>
        <v>24.46524189493698</v>
      </c>
      <c r="AI152" s="17">
        <f t="shared" si="39"/>
        <v>24.534241080861648</v>
      </c>
      <c r="AJ152" s="17">
        <f t="shared" si="39"/>
        <v>23.077796283689963</v>
      </c>
      <c r="AK152" s="17">
        <f t="shared" si="39"/>
        <v>22.222136677055801</v>
      </c>
      <c r="AL152" s="17">
        <f t="shared" si="39"/>
        <v>22.064727344311905</v>
      </c>
      <c r="AM152" s="17">
        <f t="shared" si="39"/>
        <v>21.746089057660129</v>
      </c>
      <c r="AN152" s="17">
        <f t="shared" si="39"/>
        <v>21.678286951009795</v>
      </c>
      <c r="AO152" s="17">
        <f t="shared" si="39"/>
        <v>20.914492633799114</v>
      </c>
      <c r="AP152" s="17">
        <f>AP153-SUM(AP132,AP139,AP143,AP147,AP151)</f>
        <v>20.377565843128309</v>
      </c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</row>
    <row r="153" spans="1:73" s="35" customFormat="1" x14ac:dyDescent="0.4">
      <c r="A153" s="38" t="s">
        <v>44</v>
      </c>
      <c r="B153" s="47" t="s">
        <v>44</v>
      </c>
      <c r="C153" s="5" t="s">
        <v>48</v>
      </c>
      <c r="D153" s="46" t="s">
        <v>135</v>
      </c>
      <c r="E153" s="21"/>
      <c r="F153" s="22"/>
      <c r="G153" s="23" t="str">
        <f t="shared" si="34"/>
        <v>Þús. tonn CO₂-íg. | kt CO₂e</v>
      </c>
      <c r="H153" s="24">
        <v>705.77087552006321</v>
      </c>
      <c r="I153" s="24">
        <v>697.0028214533628</v>
      </c>
      <c r="J153" s="24">
        <v>683.92202084320638</v>
      </c>
      <c r="K153" s="24">
        <v>687.49473372673253</v>
      </c>
      <c r="L153" s="24">
        <v>695.74790977241412</v>
      </c>
      <c r="M153" s="24">
        <v>680.42475913210365</v>
      </c>
      <c r="N153" s="24">
        <v>695.12241166629781</v>
      </c>
      <c r="O153" s="24">
        <v>690.61894133179032</v>
      </c>
      <c r="P153" s="24">
        <v>706.95978504809636</v>
      </c>
      <c r="Q153" s="24">
        <v>707.25193436506856</v>
      </c>
      <c r="R153" s="24">
        <v>693.71310457665857</v>
      </c>
      <c r="S153" s="24">
        <v>695.26233274645392</v>
      </c>
      <c r="T153" s="24">
        <v>681.04094169691996</v>
      </c>
      <c r="U153" s="24">
        <v>675.51645799623816</v>
      </c>
      <c r="V153" s="24">
        <v>673.06704432014635</v>
      </c>
      <c r="W153" s="24">
        <v>676.35624315554026</v>
      </c>
      <c r="X153" s="24">
        <v>702.77832044800687</v>
      </c>
      <c r="Y153" s="24">
        <v>719.49205725593663</v>
      </c>
      <c r="Z153" s="24">
        <v>735.25336443442507</v>
      </c>
      <c r="AA153" s="24">
        <v>723.74948806605664</v>
      </c>
      <c r="AB153" s="24">
        <v>713.24660673925041</v>
      </c>
      <c r="AC153" s="24">
        <v>712.00689898355654</v>
      </c>
      <c r="AD153" s="24">
        <v>706.41995539190134</v>
      </c>
      <c r="AE153" s="24">
        <v>699.11151229400309</v>
      </c>
      <c r="AF153" s="24">
        <v>739.8778854052988</v>
      </c>
      <c r="AG153" s="24">
        <v>731.68218474228752</v>
      </c>
      <c r="AH153" s="24">
        <v>731.62153572810257</v>
      </c>
      <c r="AI153" s="24">
        <v>735.88838119656498</v>
      </c>
      <c r="AJ153" s="24">
        <v>716.16781784889179</v>
      </c>
      <c r="AK153" s="24">
        <v>701.7238087608456</v>
      </c>
      <c r="AL153" s="24">
        <v>699.17214984267878</v>
      </c>
      <c r="AM153" s="24">
        <v>703.77815936914863</v>
      </c>
      <c r="AN153" s="24">
        <v>694.39797034091566</v>
      </c>
      <c r="AO153" s="24">
        <v>675.62542094858054</v>
      </c>
      <c r="AP153" s="24">
        <v>669.59914464131464</v>
      </c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</row>
    <row r="154" spans="1:73" s="35" customFormat="1" x14ac:dyDescent="0.4">
      <c r="A154" s="47"/>
      <c r="B154" s="39"/>
      <c r="C154" s="48"/>
      <c r="D154" s="145"/>
      <c r="E154" s="68"/>
      <c r="F154" s="69"/>
      <c r="G154" s="104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2"/>
      <c r="AQ154" s="103"/>
    </row>
    <row r="155" spans="1:73" s="8" customFormat="1" ht="36" customHeight="1" x14ac:dyDescent="0.4">
      <c r="A155" s="4"/>
      <c r="B155" s="358" t="s">
        <v>48</v>
      </c>
      <c r="C155" s="5"/>
      <c r="D155" s="1020" t="s">
        <v>445</v>
      </c>
      <c r="E155" s="1020" t="s">
        <v>446</v>
      </c>
      <c r="F155" s="87"/>
      <c r="G155" s="87"/>
      <c r="H155" s="7"/>
      <c r="I155" s="93"/>
      <c r="J155" s="94"/>
      <c r="K155" s="95"/>
      <c r="L155" s="11"/>
      <c r="M155" s="96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</row>
    <row r="156" spans="1:73" s="31" customFormat="1" x14ac:dyDescent="0.4">
      <c r="A156" s="4"/>
      <c r="B156" s="47" t="s">
        <v>314</v>
      </c>
      <c r="C156" s="5" t="s">
        <v>48</v>
      </c>
      <c r="D156" s="15" t="s">
        <v>20</v>
      </c>
      <c r="E156" s="14" t="s">
        <v>188</v>
      </c>
      <c r="F156" s="15"/>
      <c r="G156" s="16" t="str">
        <f t="shared" ref="G156:G177" si="40">$G$5</f>
        <v>Þús. tonn CO₂-íg. | kt CO₂e</v>
      </c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369">
        <f t="shared" ref="AP156:AP177" si="41">AP132</f>
        <v>130.29124808623394</v>
      </c>
      <c r="AQ156" s="17">
        <f t="shared" ref="AQ156:BU156" si="42">SUM(AQ157:AQ160)-SUM(AQ161:AQ162)</f>
        <v>133.53019402209071</v>
      </c>
      <c r="AR156" s="17">
        <f t="shared" si="42"/>
        <v>133.31874501620328</v>
      </c>
      <c r="AS156" s="17">
        <f t="shared" si="42"/>
        <v>133.08354432327079</v>
      </c>
      <c r="AT156" s="17">
        <f t="shared" si="42"/>
        <v>132.83845418315664</v>
      </c>
      <c r="AU156" s="17">
        <f t="shared" si="42"/>
        <v>132.54647368579037</v>
      </c>
      <c r="AV156" s="17">
        <f t="shared" si="42"/>
        <v>132.25753398055141</v>
      </c>
      <c r="AW156" s="17">
        <f t="shared" si="42"/>
        <v>131.99092524657419</v>
      </c>
      <c r="AX156" s="17">
        <f t="shared" si="42"/>
        <v>131.73396222968694</v>
      </c>
      <c r="AY156" s="17">
        <f t="shared" si="42"/>
        <v>131.46129922785065</v>
      </c>
      <c r="AZ156" s="17">
        <f t="shared" si="42"/>
        <v>131.19423740540788</v>
      </c>
      <c r="BA156" s="17">
        <f t="shared" si="42"/>
        <v>130.92073820426089</v>
      </c>
      <c r="BB156" s="17">
        <f t="shared" si="42"/>
        <v>130.6613750539546</v>
      </c>
      <c r="BC156" s="17">
        <f t="shared" si="42"/>
        <v>130.39207999124358</v>
      </c>
      <c r="BD156" s="17">
        <f t="shared" si="42"/>
        <v>130.13142445901778</v>
      </c>
      <c r="BE156" s="17">
        <f t="shared" si="42"/>
        <v>129.86178898637473</v>
      </c>
      <c r="BF156" s="17">
        <f t="shared" si="42"/>
        <v>129.60273500599294</v>
      </c>
      <c r="BG156" s="17">
        <f t="shared" si="42"/>
        <v>129.33519172760595</v>
      </c>
      <c r="BH156" s="17">
        <f t="shared" si="42"/>
        <v>129.07712594991375</v>
      </c>
      <c r="BI156" s="17">
        <f t="shared" si="42"/>
        <v>128.80994046682153</v>
      </c>
      <c r="BJ156" s="17">
        <f t="shared" si="42"/>
        <v>128.552566288349</v>
      </c>
      <c r="BK156" s="17">
        <f t="shared" si="42"/>
        <v>128.28628343912158</v>
      </c>
      <c r="BL156" s="17">
        <f t="shared" si="42"/>
        <v>128.02967964229816</v>
      </c>
      <c r="BM156" s="17">
        <f t="shared" si="42"/>
        <v>127.76391125892718</v>
      </c>
      <c r="BN156" s="17">
        <f t="shared" si="42"/>
        <v>127.5077338823904</v>
      </c>
      <c r="BO156" s="17">
        <f t="shared" si="42"/>
        <v>127.24241115608646</v>
      </c>
      <c r="BP156" s="17">
        <f t="shared" si="42"/>
        <v>126.98663613329313</v>
      </c>
      <c r="BQ156" s="17">
        <f t="shared" si="42"/>
        <v>126.72162186406132</v>
      </c>
      <c r="BR156" s="17">
        <f t="shared" si="42"/>
        <v>126.46606882131485</v>
      </c>
      <c r="BS156" s="17">
        <f t="shared" si="42"/>
        <v>126.20122345721956</v>
      </c>
      <c r="BT156" s="17">
        <f t="shared" si="42"/>
        <v>125.94579300426824</v>
      </c>
      <c r="BU156" s="17">
        <f t="shared" si="42"/>
        <v>125.68101075997586</v>
      </c>
    </row>
    <row r="157" spans="1:73" s="62" customFormat="1" hidden="1" x14ac:dyDescent="0.25">
      <c r="A157" s="97" t="s">
        <v>64</v>
      </c>
      <c r="B157" s="62" t="s">
        <v>48</v>
      </c>
      <c r="C157" s="5" t="s">
        <v>48</v>
      </c>
      <c r="D157" s="65"/>
      <c r="E157" s="64"/>
      <c r="F157" s="65"/>
      <c r="G157" s="66" t="str">
        <f t="shared" si="40"/>
        <v>Þús. tonn CO₂-íg. | kt CO₂e</v>
      </c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370">
        <f t="shared" si="41"/>
        <v>322.41304134971909</v>
      </c>
      <c r="AQ157" s="67">
        <v>327.0501730443678</v>
      </c>
      <c r="AR157" s="67">
        <v>328.29588678161156</v>
      </c>
      <c r="AS157" s="67">
        <v>329.54265235420951</v>
      </c>
      <c r="AT157" s="67">
        <v>330.64582619560957</v>
      </c>
      <c r="AU157" s="67">
        <v>330.73994164996799</v>
      </c>
      <c r="AV157" s="67">
        <v>330.83579895086325</v>
      </c>
      <c r="AW157" s="67">
        <v>330.95273814640996</v>
      </c>
      <c r="AX157" s="67">
        <v>331.07812216579725</v>
      </c>
      <c r="AY157" s="67">
        <v>331.18665186345817</v>
      </c>
      <c r="AZ157" s="67">
        <v>331.29967339006919</v>
      </c>
      <c r="BA157" s="67">
        <v>331.41605679954847</v>
      </c>
      <c r="BB157" s="67">
        <v>331.53467602339691</v>
      </c>
      <c r="BC157" s="67">
        <v>331.64238014280608</v>
      </c>
      <c r="BD157" s="67">
        <v>331.75777983551069</v>
      </c>
      <c r="BE157" s="67">
        <v>331.86329355167908</v>
      </c>
      <c r="BF157" s="67">
        <v>331.97851937749715</v>
      </c>
      <c r="BG157" s="67">
        <v>332.08442195330156</v>
      </c>
      <c r="BH157" s="67">
        <v>332.19900232864893</v>
      </c>
      <c r="BI157" s="67">
        <v>332.30369641026596</v>
      </c>
      <c r="BJ157" s="67">
        <v>332.41705895150278</v>
      </c>
      <c r="BK157" s="67">
        <v>332.52067745869141</v>
      </c>
      <c r="BL157" s="67">
        <v>332.63317137619742</v>
      </c>
      <c r="BM157" s="67">
        <v>332.73572776549855</v>
      </c>
      <c r="BN157" s="67">
        <v>332.84713193577613</v>
      </c>
      <c r="BO157" s="67">
        <v>332.94867629653947</v>
      </c>
      <c r="BP157" s="67">
        <v>333.05908175126518</v>
      </c>
      <c r="BQ157" s="67">
        <v>333.15958831694394</v>
      </c>
      <c r="BR157" s="67">
        <v>333.26892258174809</v>
      </c>
      <c r="BS157" s="67">
        <v>333.36835629192109</v>
      </c>
      <c r="BT157" s="67">
        <v>333.47662118237179</v>
      </c>
      <c r="BU157" s="67">
        <v>333.57497428990314</v>
      </c>
    </row>
    <row r="158" spans="1:73" s="62" customFormat="1" hidden="1" x14ac:dyDescent="0.25">
      <c r="A158" s="97" t="s">
        <v>65</v>
      </c>
      <c r="B158" s="62" t="s">
        <v>48</v>
      </c>
      <c r="C158" s="5" t="s">
        <v>48</v>
      </c>
      <c r="D158" s="65"/>
      <c r="E158" s="64"/>
      <c r="F158" s="65"/>
      <c r="G158" s="66" t="str">
        <f t="shared" si="40"/>
        <v>Þús. tonn CO₂-íg. | kt CO₂e</v>
      </c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370">
        <f t="shared" si="41"/>
        <v>3.5993053800000001</v>
      </c>
      <c r="AQ158" s="98">
        <v>3.2643549092848057</v>
      </c>
      <c r="AR158" s="98">
        <v>3.3387926530916063</v>
      </c>
      <c r="AS158" s="98">
        <v>3.4132303968984079</v>
      </c>
      <c r="AT158" s="98">
        <v>3.4876681407052086</v>
      </c>
      <c r="AU158" s="98">
        <v>3.5621058845120097</v>
      </c>
      <c r="AV158" s="98">
        <v>3.6365436283188108</v>
      </c>
      <c r="AW158" s="98">
        <v>3.7109813721256124</v>
      </c>
      <c r="AX158" s="98">
        <v>3.7854191159324126</v>
      </c>
      <c r="AY158" s="98">
        <v>3.8598568597392138</v>
      </c>
      <c r="AZ158" s="98">
        <v>3.9342946035460153</v>
      </c>
      <c r="BA158" s="98">
        <v>4.008732347352816</v>
      </c>
      <c r="BB158" s="98">
        <v>4.0831700911596176</v>
      </c>
      <c r="BC158" s="98">
        <v>4.1576078349664183</v>
      </c>
      <c r="BD158" s="98">
        <v>4.232045578773219</v>
      </c>
      <c r="BE158" s="98">
        <v>4.3064833225800205</v>
      </c>
      <c r="BF158" s="98">
        <v>4.3809210663868221</v>
      </c>
      <c r="BG158" s="98">
        <v>4.4553588101936228</v>
      </c>
      <c r="BH158" s="98">
        <v>4.5297965540004235</v>
      </c>
      <c r="BI158" s="98">
        <v>4.604234297807225</v>
      </c>
      <c r="BJ158" s="98">
        <v>4.6786720416140257</v>
      </c>
      <c r="BK158" s="98">
        <v>4.7531097854208273</v>
      </c>
      <c r="BL158" s="98">
        <v>4.827547529227628</v>
      </c>
      <c r="BM158" s="98">
        <v>4.9019852730344287</v>
      </c>
      <c r="BN158" s="98">
        <v>4.9764230168412302</v>
      </c>
      <c r="BO158" s="98">
        <v>5.0508607606480318</v>
      </c>
      <c r="BP158" s="98">
        <v>5.1252985044548325</v>
      </c>
      <c r="BQ158" s="98">
        <v>5.1997362482616332</v>
      </c>
      <c r="BR158" s="98">
        <v>5.2741739920684338</v>
      </c>
      <c r="BS158" s="98">
        <v>5.3486117358752354</v>
      </c>
      <c r="BT158" s="98">
        <v>5.423049479682037</v>
      </c>
      <c r="BU158" s="98">
        <v>5.4974872234888377</v>
      </c>
    </row>
    <row r="159" spans="1:73" s="62" customFormat="1" hidden="1" x14ac:dyDescent="0.25">
      <c r="A159" s="97" t="s">
        <v>88</v>
      </c>
      <c r="B159" s="62" t="s">
        <v>48</v>
      </c>
      <c r="C159" s="5" t="s">
        <v>48</v>
      </c>
      <c r="D159" s="65"/>
      <c r="E159" s="64"/>
      <c r="F159" s="65"/>
      <c r="G159" s="66" t="str">
        <f t="shared" si="40"/>
        <v>Þús. tonn CO₂-íg. | kt CO₂e</v>
      </c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370">
        <f t="shared" si="41"/>
        <v>2.0446946666666665</v>
      </c>
      <c r="AQ159" s="98">
        <v>1.6825995999999996</v>
      </c>
      <c r="AR159" s="98">
        <v>1.6825995999999996</v>
      </c>
      <c r="AS159" s="98">
        <v>1.6825995999999996</v>
      </c>
      <c r="AT159" s="98">
        <v>1.6825995999999996</v>
      </c>
      <c r="AU159" s="98">
        <v>1.6825995999999996</v>
      </c>
      <c r="AV159" s="98">
        <v>1.6825995999999996</v>
      </c>
      <c r="AW159" s="98">
        <v>1.6825995999999996</v>
      </c>
      <c r="AX159" s="98">
        <v>1.6825995999999996</v>
      </c>
      <c r="AY159" s="98">
        <v>1.6825995999999996</v>
      </c>
      <c r="AZ159" s="98">
        <v>1.6825995999999996</v>
      </c>
      <c r="BA159" s="98">
        <v>1.6825995999999996</v>
      </c>
      <c r="BB159" s="98">
        <v>1.6825995999999996</v>
      </c>
      <c r="BC159" s="98">
        <v>1.6825995999999996</v>
      </c>
      <c r="BD159" s="98">
        <v>1.6825995999999996</v>
      </c>
      <c r="BE159" s="98">
        <v>1.6825995999999996</v>
      </c>
      <c r="BF159" s="98">
        <v>1.6825995999999996</v>
      </c>
      <c r="BG159" s="98">
        <v>1.6825995999999996</v>
      </c>
      <c r="BH159" s="98">
        <v>1.6825995999999996</v>
      </c>
      <c r="BI159" s="98">
        <v>1.6825995999999996</v>
      </c>
      <c r="BJ159" s="98">
        <v>1.6825995999999996</v>
      </c>
      <c r="BK159" s="98">
        <v>1.6825995999999996</v>
      </c>
      <c r="BL159" s="98">
        <v>1.6825995999999996</v>
      </c>
      <c r="BM159" s="98">
        <v>1.6825995999999996</v>
      </c>
      <c r="BN159" s="98">
        <v>1.6825995999999996</v>
      </c>
      <c r="BO159" s="98">
        <v>1.6825995999999996</v>
      </c>
      <c r="BP159" s="98">
        <v>1.6825995999999996</v>
      </c>
      <c r="BQ159" s="98">
        <v>1.6825995999999996</v>
      </c>
      <c r="BR159" s="98">
        <v>1.6825995999999996</v>
      </c>
      <c r="BS159" s="98">
        <v>1.6825995999999996</v>
      </c>
      <c r="BT159" s="98">
        <v>1.6825995999999996</v>
      </c>
      <c r="BU159" s="98">
        <v>1.6825995999999996</v>
      </c>
    </row>
    <row r="160" spans="1:73" s="62" customFormat="1" hidden="1" x14ac:dyDescent="0.25">
      <c r="A160" s="97" t="s">
        <v>89</v>
      </c>
      <c r="B160" s="62" t="s">
        <v>48</v>
      </c>
      <c r="C160" s="5" t="s">
        <v>48</v>
      </c>
      <c r="D160" s="65"/>
      <c r="E160" s="64"/>
      <c r="F160" s="65"/>
      <c r="G160" s="66" t="str">
        <f t="shared" si="40"/>
        <v>Þús. tonn CO₂-íg. | kt CO₂e</v>
      </c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370">
        <f t="shared" si="41"/>
        <v>1.1421664787255437</v>
      </c>
      <c r="AQ160" s="98">
        <v>1.4387455959161797</v>
      </c>
      <c r="AR160" s="98">
        <v>1.3896445532910178</v>
      </c>
      <c r="AS160" s="98">
        <v>1.3422192151084769</v>
      </c>
      <c r="AT160" s="98">
        <v>1.2964123934713374</v>
      </c>
      <c r="AU160" s="98">
        <v>1.2521688521723708</v>
      </c>
      <c r="AV160" s="98">
        <v>1.2094352400876964</v>
      </c>
      <c r="AW160" s="98">
        <v>1.1681600268432875</v>
      </c>
      <c r="AX160" s="98">
        <v>1.128293440676942</v>
      </c>
      <c r="AY160" s="98">
        <v>1.0897874084210515</v>
      </c>
      <c r="AZ160" s="98">
        <v>1.0525954975334479</v>
      </c>
      <c r="BA160" s="98">
        <v>1.016672860106689</v>
      </c>
      <c r="BB160" s="98">
        <v>0.98197617878817212</v>
      </c>
      <c r="BC160" s="98">
        <v>0.94846361454579964</v>
      </c>
      <c r="BD160" s="98">
        <v>0.916094756216421</v>
      </c>
      <c r="BE160" s="98">
        <v>0.88483057177592861</v>
      </c>
      <c r="BF160" s="98">
        <v>0.85463336127246214</v>
      </c>
      <c r="BG160" s="98">
        <v>0.82546671136589156</v>
      </c>
      <c r="BH160" s="98">
        <v>0.79729545141870206</v>
      </c>
      <c r="BI160" s="98">
        <v>0.77008561108551377</v>
      </c>
      <c r="BJ160" s="98">
        <v>0.74380437934985355</v>
      </c>
      <c r="BK160" s="98">
        <v>0.71842006495896749</v>
      </c>
      <c r="BL160" s="98">
        <v>0.69390205820889672</v>
      </c>
      <c r="BM160" s="98">
        <v>0.67022079403369272</v>
      </c>
      <c r="BN160" s="98">
        <v>0.64734771635440902</v>
      </c>
      <c r="BO160" s="98">
        <v>0.62525524364468155</v>
      </c>
      <c r="BP160" s="98">
        <v>0.60391673567152326</v>
      </c>
      <c r="BQ160" s="98">
        <v>0.58330646137117959</v>
      </c>
      <c r="BR160" s="98">
        <v>0.56339956782126044</v>
      </c>
      <c r="BS160" s="98">
        <v>0.5441720502718681</v>
      </c>
      <c r="BT160" s="98">
        <v>0.52560072319940798</v>
      </c>
      <c r="BU160" s="98">
        <v>0.50766319234830859</v>
      </c>
    </row>
    <row r="161" spans="1:73" s="62" customFormat="1" hidden="1" x14ac:dyDescent="0.25">
      <c r="A161" s="97" t="s">
        <v>75</v>
      </c>
      <c r="B161" s="62" t="s">
        <v>48</v>
      </c>
      <c r="C161" s="5" t="s">
        <v>48</v>
      </c>
      <c r="D161" s="65"/>
      <c r="E161" s="64"/>
      <c r="F161" s="65"/>
      <c r="G161" s="66" t="str">
        <f t="shared" si="40"/>
        <v>Þús. tonn CO₂-íg. | kt CO₂e</v>
      </c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370">
        <f t="shared" si="41"/>
        <v>198.59147831329477</v>
      </c>
      <c r="AQ161" s="67">
        <v>199.43292541739251</v>
      </c>
      <c r="AR161" s="67">
        <v>200.90863427951859</v>
      </c>
      <c r="AS161" s="67">
        <v>202.41077724920626</v>
      </c>
      <c r="AT161" s="67">
        <v>203.78079057610094</v>
      </c>
      <c r="AU161" s="67">
        <v>204.19015250567392</v>
      </c>
      <c r="AV161" s="67">
        <v>204.59967798160588</v>
      </c>
      <c r="AW161" s="67">
        <v>205.00936453591595</v>
      </c>
      <c r="AX161" s="67">
        <v>205.41920975606916</v>
      </c>
      <c r="AY161" s="67">
        <v>205.82921128332791</v>
      </c>
      <c r="AZ161" s="67">
        <v>206.23936681116419</v>
      </c>
      <c r="BA161" s="67">
        <v>206.66053922471204</v>
      </c>
      <c r="BB161" s="67">
        <v>207.07098481056016</v>
      </c>
      <c r="BC161" s="67">
        <v>207.48157785666524</v>
      </c>
      <c r="BD161" s="67">
        <v>207.89231624942514</v>
      </c>
      <c r="BE161" s="67">
        <v>208.30319792035692</v>
      </c>
      <c r="BF161" s="67">
        <v>208.71422084482157</v>
      </c>
      <c r="BG161" s="67">
        <v>209.12538304079396</v>
      </c>
      <c r="BH161" s="67">
        <v>209.53668256767475</v>
      </c>
      <c r="BI161" s="67">
        <v>209.94811752514457</v>
      </c>
      <c r="BJ161" s="67">
        <v>210.35927778028844</v>
      </c>
      <c r="BK161" s="67">
        <v>210.77043803543231</v>
      </c>
      <c r="BL161" s="67">
        <v>211.1815982905762</v>
      </c>
      <c r="BM161" s="67">
        <v>211.59275854572005</v>
      </c>
      <c r="BN161" s="67">
        <v>212.00391880086394</v>
      </c>
      <c r="BO161" s="67">
        <v>212.41507905600784</v>
      </c>
      <c r="BP161" s="67">
        <v>212.82623931115174</v>
      </c>
      <c r="BQ161" s="67">
        <v>213.23739956629561</v>
      </c>
      <c r="BR161" s="67">
        <v>213.64855982143948</v>
      </c>
      <c r="BS161" s="67">
        <v>214.0597200765834</v>
      </c>
      <c r="BT161" s="67">
        <v>214.47088033172727</v>
      </c>
      <c r="BU161" s="67">
        <v>214.88204058687111</v>
      </c>
    </row>
    <row r="162" spans="1:73" s="62" customFormat="1" ht="11.4" hidden="1" x14ac:dyDescent="0.25">
      <c r="A162" s="97" t="s">
        <v>115</v>
      </c>
      <c r="B162" s="62" t="s">
        <v>48</v>
      </c>
      <c r="C162" s="63"/>
      <c r="D162" s="65"/>
      <c r="E162" s="64"/>
      <c r="F162" s="65"/>
      <c r="G162" s="66" t="str">
        <f t="shared" si="40"/>
        <v>Þús. tonn CO₂-íg. | kt CO₂e</v>
      </c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370">
        <f t="shared" si="41"/>
        <v>0.31648147558255646</v>
      </c>
      <c r="AQ162" s="99">
        <v>0.47275371008558126</v>
      </c>
      <c r="AR162" s="99">
        <v>0.47954429227231726</v>
      </c>
      <c r="AS162" s="99">
        <v>0.48637999373935803</v>
      </c>
      <c r="AT162" s="99">
        <v>0.49326157052848302</v>
      </c>
      <c r="AU162" s="99">
        <v>0.50018979518806295</v>
      </c>
      <c r="AV162" s="99">
        <v>0.50716545711246508</v>
      </c>
      <c r="AW162" s="99">
        <v>0.51418936288870765</v>
      </c>
      <c r="AX162" s="99">
        <v>0.52126233665050981</v>
      </c>
      <c r="AY162" s="99">
        <v>0.52838522043990566</v>
      </c>
      <c r="AZ162" s="99">
        <v>0.53555887457657092</v>
      </c>
      <c r="BA162" s="99">
        <v>0.54278417803503343</v>
      </c>
      <c r="BB162" s="99">
        <v>0.55006202882993349</v>
      </c>
      <c r="BC162" s="99">
        <v>0.55739334440950261</v>
      </c>
      <c r="BD162" s="99">
        <v>0.56477906205743644</v>
      </c>
      <c r="BE162" s="99">
        <v>0.57222013930333948</v>
      </c>
      <c r="BF162" s="99">
        <v>0.57971755434192695</v>
      </c>
      <c r="BG162" s="99">
        <v>0.58727230646116202</v>
      </c>
      <c r="BH162" s="99">
        <v>0.59488541647952842</v>
      </c>
      <c r="BI162" s="99">
        <v>0.6025579271926198</v>
      </c>
      <c r="BJ162" s="99">
        <v>0.61029090382925966</v>
      </c>
      <c r="BK162" s="99">
        <v>0.61808543451733722</v>
      </c>
      <c r="BL162" s="99">
        <v>0.62594263075957857</v>
      </c>
      <c r="BM162" s="99">
        <v>0.63386362791945483</v>
      </c>
      <c r="BN162" s="99">
        <v>0.64184958571745343</v>
      </c>
      <c r="BO162" s="99">
        <v>0.64990168873791865</v>
      </c>
      <c r="BP162" s="99">
        <v>0.65802114694669789</v>
      </c>
      <c r="BQ162" s="99">
        <v>0.66620919621981967</v>
      </c>
      <c r="BR162" s="99">
        <v>0.67446709888343215</v>
      </c>
      <c r="BS162" s="99">
        <v>0.68279614426525115</v>
      </c>
      <c r="BT162" s="99">
        <v>0.69119764925775284</v>
      </c>
      <c r="BU162" s="99">
        <v>0.69967295889337056</v>
      </c>
    </row>
    <row r="163" spans="1:73" s="31" customFormat="1" x14ac:dyDescent="0.4">
      <c r="A163" s="38"/>
      <c r="B163" s="47" t="s">
        <v>315</v>
      </c>
      <c r="C163" s="20" t="s">
        <v>48</v>
      </c>
      <c r="D163" s="15" t="s">
        <v>21</v>
      </c>
      <c r="E163" s="14" t="s">
        <v>145</v>
      </c>
      <c r="F163" s="15"/>
      <c r="G163" s="16" t="str">
        <f t="shared" si="40"/>
        <v>Þús. tonn CO₂-íg. | kt CO₂e</v>
      </c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352">
        <f t="shared" si="41"/>
        <v>169.57799558750742</v>
      </c>
      <c r="AQ163" s="17">
        <f t="shared" ref="AQ163:BU163" si="43">SUM(AQ164:AQ166)</f>
        <v>169.02712658222563</v>
      </c>
      <c r="AR163" s="17">
        <f t="shared" si="43"/>
        <v>169.48676102943139</v>
      </c>
      <c r="AS163" s="17">
        <f t="shared" si="43"/>
        <v>169.44525871130543</v>
      </c>
      <c r="AT163" s="17">
        <f t="shared" si="43"/>
        <v>169.39561491015104</v>
      </c>
      <c r="AU163" s="17">
        <f t="shared" si="43"/>
        <v>169.3378293893343</v>
      </c>
      <c r="AV163" s="17">
        <f t="shared" si="43"/>
        <v>169.27190191222113</v>
      </c>
      <c r="AW163" s="17">
        <f t="shared" si="43"/>
        <v>169.19783224217761</v>
      </c>
      <c r="AX163" s="17">
        <f t="shared" si="43"/>
        <v>169.11562014256961</v>
      </c>
      <c r="AY163" s="17">
        <f t="shared" si="43"/>
        <v>169.02526537676317</v>
      </c>
      <c r="AZ163" s="17">
        <f t="shared" si="43"/>
        <v>168.92676770812429</v>
      </c>
      <c r="BA163" s="17">
        <f t="shared" si="43"/>
        <v>168.82012690001895</v>
      </c>
      <c r="BB163" s="17">
        <f t="shared" si="43"/>
        <v>168.70534271581312</v>
      </c>
      <c r="BC163" s="17">
        <f t="shared" si="43"/>
        <v>168.58241491887276</v>
      </c>
      <c r="BD163" s="17">
        <f t="shared" si="43"/>
        <v>168.45134327256389</v>
      </c>
      <c r="BE163" s="17">
        <f t="shared" si="43"/>
        <v>168.31212754025253</v>
      </c>
      <c r="BF163" s="17">
        <f t="shared" si="43"/>
        <v>168.16476748530457</v>
      </c>
      <c r="BG163" s="17">
        <f t="shared" si="43"/>
        <v>168.00926287108609</v>
      </c>
      <c r="BH163" s="17">
        <f t="shared" si="43"/>
        <v>167.84561346096294</v>
      </c>
      <c r="BI163" s="17">
        <f t="shared" si="43"/>
        <v>167.67381901830126</v>
      </c>
      <c r="BJ163" s="17">
        <f t="shared" si="43"/>
        <v>167.49387930646697</v>
      </c>
      <c r="BK163" s="17">
        <f t="shared" si="43"/>
        <v>167.30579408882608</v>
      </c>
      <c r="BL163" s="17">
        <f t="shared" si="43"/>
        <v>167.10956312874447</v>
      </c>
      <c r="BM163" s="17">
        <f t="shared" si="43"/>
        <v>166.90518618958828</v>
      </c>
      <c r="BN163" s="17">
        <f t="shared" si="43"/>
        <v>166.69266303472335</v>
      </c>
      <c r="BO163" s="17">
        <f t="shared" si="43"/>
        <v>166.47199342751574</v>
      </c>
      <c r="BP163" s="17">
        <f t="shared" si="43"/>
        <v>166.24317713133146</v>
      </c>
      <c r="BQ163" s="17">
        <f t="shared" si="43"/>
        <v>166.00621390953646</v>
      </c>
      <c r="BR163" s="17">
        <f t="shared" si="43"/>
        <v>165.76110352549671</v>
      </c>
      <c r="BS163" s="17">
        <f t="shared" si="43"/>
        <v>165.50784574257821</v>
      </c>
      <c r="BT163" s="17">
        <f t="shared" si="43"/>
        <v>165.2464403241469</v>
      </c>
      <c r="BU163" s="17">
        <f t="shared" si="43"/>
        <v>164.97688703356889</v>
      </c>
    </row>
    <row r="164" spans="1:73" s="62" customFormat="1" ht="15" x14ac:dyDescent="0.35">
      <c r="A164" s="4" t="s">
        <v>66</v>
      </c>
      <c r="B164" s="47" t="s">
        <v>48</v>
      </c>
      <c r="C164" s="97"/>
      <c r="D164" s="58" t="s">
        <v>119</v>
      </c>
      <c r="E164" s="100" t="s">
        <v>232</v>
      </c>
      <c r="F164" s="58"/>
      <c r="G164" s="391" t="str">
        <f t="shared" si="40"/>
        <v>Þús. tonn CO₂-íg. | kt CO₂e</v>
      </c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  <c r="S164" s="389"/>
      <c r="T164" s="389"/>
      <c r="U164" s="389"/>
      <c r="V164" s="389"/>
      <c r="W164" s="389"/>
      <c r="X164" s="389"/>
      <c r="Y164" s="389"/>
      <c r="Z164" s="389"/>
      <c r="AA164" s="389"/>
      <c r="AB164" s="389"/>
      <c r="AC164" s="389"/>
      <c r="AD164" s="389"/>
      <c r="AE164" s="389"/>
      <c r="AF164" s="389"/>
      <c r="AG164" s="389"/>
      <c r="AH164" s="389"/>
      <c r="AI164" s="389"/>
      <c r="AJ164" s="389"/>
      <c r="AK164" s="389"/>
      <c r="AL164" s="389"/>
      <c r="AM164" s="389"/>
      <c r="AN164" s="389"/>
      <c r="AO164" s="389"/>
      <c r="AP164" s="389">
        <f t="shared" si="41"/>
        <v>135.0625079130406</v>
      </c>
      <c r="AQ164" s="350">
        <v>134.65408918871677</v>
      </c>
      <c r="AR164" s="350">
        <v>135.03072157001836</v>
      </c>
      <c r="AS164" s="350">
        <v>135.02020718690179</v>
      </c>
      <c r="AT164" s="350">
        <v>135.0033762219602</v>
      </c>
      <c r="AU164" s="350">
        <v>134.98022867519364</v>
      </c>
      <c r="AV164" s="350">
        <v>134.95076454660207</v>
      </c>
      <c r="AW164" s="350">
        <v>134.91498383618557</v>
      </c>
      <c r="AX164" s="350">
        <v>134.87288654394408</v>
      </c>
      <c r="AY164" s="350">
        <v>134.82447266987759</v>
      </c>
      <c r="AZ164" s="350">
        <v>134.76974221398612</v>
      </c>
      <c r="BA164" s="350">
        <v>134.70869517626969</v>
      </c>
      <c r="BB164" s="350">
        <v>134.64133155672829</v>
      </c>
      <c r="BC164" s="350">
        <v>134.56765135536187</v>
      </c>
      <c r="BD164" s="350">
        <v>134.48765457217053</v>
      </c>
      <c r="BE164" s="350">
        <v>134.40134120715419</v>
      </c>
      <c r="BF164" s="350">
        <v>134.30871126031286</v>
      </c>
      <c r="BG164" s="350">
        <v>134.20976473164657</v>
      </c>
      <c r="BH164" s="350">
        <v>134.10450162115526</v>
      </c>
      <c r="BI164" s="350">
        <v>133.992921928839</v>
      </c>
      <c r="BJ164" s="350">
        <v>133.87502565469777</v>
      </c>
      <c r="BK164" s="350">
        <v>133.75081279873157</v>
      </c>
      <c r="BL164" s="350">
        <v>133.62028336094033</v>
      </c>
      <c r="BM164" s="350">
        <v>133.48343734132419</v>
      </c>
      <c r="BN164" s="350">
        <v>133.340274739883</v>
      </c>
      <c r="BO164" s="350">
        <v>133.19079555661688</v>
      </c>
      <c r="BP164" s="350">
        <v>133.03499979152576</v>
      </c>
      <c r="BQ164" s="350">
        <v>132.87288744460966</v>
      </c>
      <c r="BR164" s="350">
        <v>132.70445851586859</v>
      </c>
      <c r="BS164" s="350">
        <v>132.52971300530257</v>
      </c>
      <c r="BT164" s="350">
        <v>132.34865091291152</v>
      </c>
      <c r="BU164" s="350">
        <v>132.16127223869552</v>
      </c>
    </row>
    <row r="165" spans="1:73" s="62" customFormat="1" ht="15" x14ac:dyDescent="0.35">
      <c r="A165" s="4" t="s">
        <v>67</v>
      </c>
      <c r="B165" s="47" t="s">
        <v>48</v>
      </c>
      <c r="C165" s="97"/>
      <c r="D165" s="58" t="s">
        <v>120</v>
      </c>
      <c r="E165" s="100" t="s">
        <v>233</v>
      </c>
      <c r="F165" s="58"/>
      <c r="G165" s="391" t="str">
        <f t="shared" si="40"/>
        <v>Þús. tonn CO₂-íg. | kt CO₂e</v>
      </c>
      <c r="H165" s="389"/>
      <c r="I165" s="389"/>
      <c r="J165" s="389"/>
      <c r="K165" s="389"/>
      <c r="L165" s="389"/>
      <c r="M165" s="389"/>
      <c r="N165" s="389"/>
      <c r="O165" s="389"/>
      <c r="P165" s="389"/>
      <c r="Q165" s="389"/>
      <c r="R165" s="389"/>
      <c r="S165" s="389"/>
      <c r="T165" s="389"/>
      <c r="U165" s="389"/>
      <c r="V165" s="389"/>
      <c r="W165" s="389"/>
      <c r="X165" s="389"/>
      <c r="Y165" s="389"/>
      <c r="Z165" s="389"/>
      <c r="AA165" s="389"/>
      <c r="AB165" s="389"/>
      <c r="AC165" s="389"/>
      <c r="AD165" s="389"/>
      <c r="AE165" s="389"/>
      <c r="AF165" s="389"/>
      <c r="AG165" s="389"/>
      <c r="AH165" s="389"/>
      <c r="AI165" s="389"/>
      <c r="AJ165" s="389"/>
      <c r="AK165" s="389"/>
      <c r="AL165" s="389"/>
      <c r="AM165" s="389"/>
      <c r="AN165" s="389"/>
      <c r="AO165" s="389"/>
      <c r="AP165" s="389">
        <f t="shared" si="41"/>
        <v>33.617113274791024</v>
      </c>
      <c r="AQ165" s="350">
        <v>33.48434580840491</v>
      </c>
      <c r="AR165" s="350">
        <v>33.570654726430817</v>
      </c>
      <c r="AS165" s="350">
        <v>33.544683225264194</v>
      </c>
      <c r="AT165" s="350">
        <v>33.516879787167312</v>
      </c>
      <c r="AU165" s="350">
        <v>33.487244412140143</v>
      </c>
      <c r="AV165" s="350">
        <v>33.455777100182708</v>
      </c>
      <c r="AW165" s="350">
        <v>33.422477851295</v>
      </c>
      <c r="AX165" s="350">
        <v>33.387346665477025</v>
      </c>
      <c r="AY165" s="350">
        <v>33.350383542728778</v>
      </c>
      <c r="AZ165" s="350">
        <v>33.311588483050258</v>
      </c>
      <c r="BA165" s="350">
        <v>33.270961486441472</v>
      </c>
      <c r="BB165" s="350">
        <v>33.228502552902427</v>
      </c>
      <c r="BC165" s="350">
        <v>33.184211682433094</v>
      </c>
      <c r="BD165" s="350">
        <v>33.138088875033489</v>
      </c>
      <c r="BE165" s="350">
        <v>33.090134130703625</v>
      </c>
      <c r="BF165" s="350">
        <v>33.040347449443487</v>
      </c>
      <c r="BG165" s="350">
        <v>32.988728831253084</v>
      </c>
      <c r="BH165" s="350">
        <v>32.935278276132387</v>
      </c>
      <c r="BI165" s="350">
        <v>32.879995784081444</v>
      </c>
      <c r="BJ165" s="350">
        <v>32.822881355100222</v>
      </c>
      <c r="BK165" s="350">
        <v>32.763934989188733</v>
      </c>
      <c r="BL165" s="350">
        <v>32.703156686346958</v>
      </c>
      <c r="BM165" s="350">
        <v>32.64054644657493</v>
      </c>
      <c r="BN165" s="350">
        <v>32.57610426987263</v>
      </c>
      <c r="BO165" s="350">
        <v>32.509830156240042</v>
      </c>
      <c r="BP165" s="350">
        <v>32.441724105677203</v>
      </c>
      <c r="BQ165" s="350">
        <v>32.37178611818409</v>
      </c>
      <c r="BR165" s="350">
        <v>32.300016193760705</v>
      </c>
      <c r="BS165" s="350">
        <v>32.226414332407046</v>
      </c>
      <c r="BT165" s="350">
        <v>32.150980534123121</v>
      </c>
      <c r="BU165" s="350">
        <v>32.073714798908924</v>
      </c>
    </row>
    <row r="166" spans="1:73" s="62" customFormat="1" ht="15" x14ac:dyDescent="0.35">
      <c r="A166" s="4" t="s">
        <v>68</v>
      </c>
      <c r="B166" s="47" t="s">
        <v>48</v>
      </c>
      <c r="C166" s="97"/>
      <c r="D166" s="58" t="s">
        <v>121</v>
      </c>
      <c r="E166" s="100" t="s">
        <v>234</v>
      </c>
      <c r="F166" s="58"/>
      <c r="G166" s="391" t="str">
        <f t="shared" si="40"/>
        <v>Þús. tonn CO₂-íg. | kt CO₂e</v>
      </c>
      <c r="H166" s="389"/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>
        <f t="shared" si="41"/>
        <v>0.89837439967577915</v>
      </c>
      <c r="AQ166" s="390">
        <v>0.88869158510392898</v>
      </c>
      <c r="AR166" s="390">
        <v>0.88538473298220843</v>
      </c>
      <c r="AS166" s="390">
        <v>0.8803682991394326</v>
      </c>
      <c r="AT166" s="390">
        <v>0.8753589010235413</v>
      </c>
      <c r="AU166" s="390">
        <v>0.8703563020005195</v>
      </c>
      <c r="AV166" s="390">
        <v>0.86536026543635125</v>
      </c>
      <c r="AW166" s="390">
        <v>0.86037055469702151</v>
      </c>
      <c r="AX166" s="390">
        <v>0.85538693314851466</v>
      </c>
      <c r="AY166" s="390">
        <v>0.85040916415681467</v>
      </c>
      <c r="AZ166" s="390">
        <v>0.8454370110879077</v>
      </c>
      <c r="BA166" s="390">
        <v>0.84047023730777659</v>
      </c>
      <c r="BB166" s="390">
        <v>0.83550860618240685</v>
      </c>
      <c r="BC166" s="390">
        <v>0.83055188107778277</v>
      </c>
      <c r="BD166" s="390">
        <v>0.82559982535988852</v>
      </c>
      <c r="BE166" s="390">
        <v>0.82065220239470948</v>
      </c>
      <c r="BF166" s="390">
        <v>0.81570877554822929</v>
      </c>
      <c r="BG166" s="390">
        <v>0.81076930818643322</v>
      </c>
      <c r="BH166" s="390">
        <v>0.80583356367530556</v>
      </c>
      <c r="BI166" s="390">
        <v>0.80090130538083071</v>
      </c>
      <c r="BJ166" s="390">
        <v>0.79597229666899327</v>
      </c>
      <c r="BK166" s="390">
        <v>0.79104630090577832</v>
      </c>
      <c r="BL166" s="390">
        <v>0.78612308145716914</v>
      </c>
      <c r="BM166" s="390">
        <v>0.78120240168915178</v>
      </c>
      <c r="BN166" s="390">
        <v>0.77628402496770998</v>
      </c>
      <c r="BO166" s="390">
        <v>0.77136771465882825</v>
      </c>
      <c r="BP166" s="390">
        <v>0.76645323412849153</v>
      </c>
      <c r="BQ166" s="390">
        <v>0.76154034674268389</v>
      </c>
      <c r="BR166" s="390">
        <v>0.7566288158673905</v>
      </c>
      <c r="BS166" s="390">
        <v>0.75171840486859554</v>
      </c>
      <c r="BT166" s="390">
        <v>0.74680887711228305</v>
      </c>
      <c r="BU166" s="390">
        <v>0.74189999596443845</v>
      </c>
    </row>
    <row r="167" spans="1:73" s="31" customFormat="1" x14ac:dyDescent="0.4">
      <c r="A167" s="38"/>
      <c r="B167" s="47" t="s">
        <v>316</v>
      </c>
      <c r="C167" s="20" t="s">
        <v>48</v>
      </c>
      <c r="D167" s="15" t="s">
        <v>22</v>
      </c>
      <c r="E167" s="14" t="s">
        <v>146</v>
      </c>
      <c r="F167" s="15"/>
      <c r="G167" s="16" t="str">
        <f t="shared" si="40"/>
        <v>Þús. tonn CO₂-íg. | kt CO₂e</v>
      </c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352">
        <f t="shared" si="41"/>
        <v>125.94372494955719</v>
      </c>
      <c r="AQ167" s="17">
        <f t="shared" ref="AQ167:BU167" si="44">SUM(AQ168:AQ170)</f>
        <v>125.83234622089682</v>
      </c>
      <c r="AR167" s="17">
        <f t="shared" si="44"/>
        <v>124.52652112525746</v>
      </c>
      <c r="AS167" s="17">
        <f t="shared" si="44"/>
        <v>123.22070184524559</v>
      </c>
      <c r="AT167" s="17">
        <f t="shared" si="44"/>
        <v>121.9148883808612</v>
      </c>
      <c r="AU167" s="17">
        <f t="shared" si="44"/>
        <v>120.60908073210435</v>
      </c>
      <c r="AV167" s="17">
        <f t="shared" si="44"/>
        <v>119.30327889897494</v>
      </c>
      <c r="AW167" s="17">
        <f t="shared" si="44"/>
        <v>117.9974828814731</v>
      </c>
      <c r="AX167" s="17">
        <f t="shared" si="44"/>
        <v>116.69169267959875</v>
      </c>
      <c r="AY167" s="17">
        <f t="shared" si="44"/>
        <v>115.38590829335187</v>
      </c>
      <c r="AZ167" s="17">
        <f t="shared" si="44"/>
        <v>114.08012972273251</v>
      </c>
      <c r="BA167" s="17">
        <f t="shared" si="44"/>
        <v>112.77435696774064</v>
      </c>
      <c r="BB167" s="17">
        <f t="shared" si="44"/>
        <v>111.46859002837627</v>
      </c>
      <c r="BC167" s="17">
        <f t="shared" si="44"/>
        <v>110.16282890463944</v>
      </c>
      <c r="BD167" s="17">
        <f t="shared" si="44"/>
        <v>108.85707359653006</v>
      </c>
      <c r="BE167" s="17">
        <f t="shared" si="44"/>
        <v>107.55132410404822</v>
      </c>
      <c r="BF167" s="17">
        <f t="shared" si="44"/>
        <v>106.24558042719383</v>
      </c>
      <c r="BG167" s="17">
        <f t="shared" si="44"/>
        <v>104.93984256596698</v>
      </c>
      <c r="BH167" s="17">
        <f t="shared" si="44"/>
        <v>103.63411052036763</v>
      </c>
      <c r="BI167" s="17">
        <f t="shared" si="44"/>
        <v>102.32838429039576</v>
      </c>
      <c r="BJ167" s="17">
        <f t="shared" si="44"/>
        <v>101.02266387605141</v>
      </c>
      <c r="BK167" s="17">
        <f t="shared" si="44"/>
        <v>99.716949277334578</v>
      </c>
      <c r="BL167" s="17">
        <f t="shared" si="44"/>
        <v>98.411240494245206</v>
      </c>
      <c r="BM167" s="17">
        <f t="shared" si="44"/>
        <v>97.105537526783337</v>
      </c>
      <c r="BN167" s="17">
        <f t="shared" si="44"/>
        <v>95.799840374949</v>
      </c>
      <c r="BO167" s="17">
        <f t="shared" si="44"/>
        <v>94.494149038742151</v>
      </c>
      <c r="BP167" s="17">
        <f t="shared" si="44"/>
        <v>93.188463518162806</v>
      </c>
      <c r="BQ167" s="17">
        <f t="shared" si="44"/>
        <v>91.882783813210963</v>
      </c>
      <c r="BR167" s="17">
        <f t="shared" si="44"/>
        <v>90.577109923886624</v>
      </c>
      <c r="BS167" s="17">
        <f t="shared" si="44"/>
        <v>89.27144185018976</v>
      </c>
      <c r="BT167" s="17">
        <f t="shared" si="44"/>
        <v>87.965779592120427</v>
      </c>
      <c r="BU167" s="17">
        <f t="shared" si="44"/>
        <v>86.660123149678569</v>
      </c>
    </row>
    <row r="168" spans="1:73" s="62" customFormat="1" ht="15" x14ac:dyDescent="0.35">
      <c r="A168" s="4" t="s">
        <v>69</v>
      </c>
      <c r="B168" s="47" t="s">
        <v>48</v>
      </c>
      <c r="C168" s="97"/>
      <c r="D168" s="58" t="s">
        <v>119</v>
      </c>
      <c r="E168" s="100" t="s">
        <v>232</v>
      </c>
      <c r="F168" s="58"/>
      <c r="G168" s="391" t="str">
        <f t="shared" si="40"/>
        <v>Þús. tonn CO₂-íg. | kt CO₂e</v>
      </c>
      <c r="H168" s="389"/>
      <c r="I168" s="389"/>
      <c r="J168" s="389"/>
      <c r="K168" s="389"/>
      <c r="L168" s="389"/>
      <c r="M168" s="389"/>
      <c r="N168" s="389"/>
      <c r="O168" s="389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89"/>
      <c r="AB168" s="389"/>
      <c r="AC168" s="389"/>
      <c r="AD168" s="389"/>
      <c r="AE168" s="389"/>
      <c r="AF168" s="389"/>
      <c r="AG168" s="389"/>
      <c r="AH168" s="389"/>
      <c r="AI168" s="389"/>
      <c r="AJ168" s="389"/>
      <c r="AK168" s="389"/>
      <c r="AL168" s="389"/>
      <c r="AM168" s="389"/>
      <c r="AN168" s="389"/>
      <c r="AO168" s="389"/>
      <c r="AP168" s="389">
        <f t="shared" si="41"/>
        <v>114.29974592241815</v>
      </c>
      <c r="AQ168" s="350">
        <v>114.29974592241815</v>
      </c>
      <c r="AR168" s="350">
        <v>113.11084377761343</v>
      </c>
      <c r="AS168" s="350">
        <v>111.92194163280865</v>
      </c>
      <c r="AT168" s="350">
        <v>110.73303948800388</v>
      </c>
      <c r="AU168" s="350">
        <v>109.54413734319914</v>
      </c>
      <c r="AV168" s="350">
        <v>108.35523519839435</v>
      </c>
      <c r="AW168" s="350">
        <v>107.16633305358963</v>
      </c>
      <c r="AX168" s="350">
        <v>105.97743090878487</v>
      </c>
      <c r="AY168" s="350">
        <v>104.78852876398011</v>
      </c>
      <c r="AZ168" s="350">
        <v>103.59962661917535</v>
      </c>
      <c r="BA168" s="350">
        <v>102.4107244743706</v>
      </c>
      <c r="BB168" s="350">
        <v>101.22182232956582</v>
      </c>
      <c r="BC168" s="350">
        <v>100.0329201847611</v>
      </c>
      <c r="BD168" s="350">
        <v>98.844018039956325</v>
      </c>
      <c r="BE168" s="350">
        <v>97.655115895151582</v>
      </c>
      <c r="BF168" s="350">
        <v>96.46621375034681</v>
      </c>
      <c r="BG168" s="350">
        <v>95.277311605542067</v>
      </c>
      <c r="BH168" s="350">
        <v>94.08840946073731</v>
      </c>
      <c r="BI168" s="350">
        <v>92.899507315932539</v>
      </c>
      <c r="BJ168" s="350">
        <v>91.710605171127781</v>
      </c>
      <c r="BK168" s="350">
        <v>90.521703026323038</v>
      </c>
      <c r="BL168" s="350">
        <v>89.332800881518267</v>
      </c>
      <c r="BM168" s="350">
        <v>88.143898736713496</v>
      </c>
      <c r="BN168" s="350">
        <v>86.954996591908753</v>
      </c>
      <c r="BO168" s="350">
        <v>85.766094447103995</v>
      </c>
      <c r="BP168" s="350">
        <v>84.577192302299238</v>
      </c>
      <c r="BQ168" s="350">
        <v>83.388290157494481</v>
      </c>
      <c r="BR168" s="350">
        <v>82.199388012689738</v>
      </c>
      <c r="BS168" s="350">
        <v>81.010485867884967</v>
      </c>
      <c r="BT168" s="350">
        <v>79.821583723080224</v>
      </c>
      <c r="BU168" s="350">
        <v>78.632681578275452</v>
      </c>
    </row>
    <row r="169" spans="1:73" s="62" customFormat="1" ht="15" x14ac:dyDescent="0.35">
      <c r="A169" s="4" t="s">
        <v>70</v>
      </c>
      <c r="B169" s="47" t="s">
        <v>48</v>
      </c>
      <c r="C169" s="97"/>
      <c r="D169" s="58" t="s">
        <v>120</v>
      </c>
      <c r="E169" s="100" t="s">
        <v>233</v>
      </c>
      <c r="F169" s="58"/>
      <c r="G169" s="391" t="str">
        <f t="shared" si="40"/>
        <v>Þús. tonn CO₂-íg. | kt CO₂e</v>
      </c>
      <c r="H169" s="389"/>
      <c r="I169" s="389"/>
      <c r="J169" s="389"/>
      <c r="K169" s="389"/>
      <c r="L169" s="389"/>
      <c r="M169" s="389"/>
      <c r="N169" s="389"/>
      <c r="O169" s="389"/>
      <c r="P169" s="389"/>
      <c r="Q169" s="389"/>
      <c r="R169" s="389"/>
      <c r="S169" s="389"/>
      <c r="T169" s="389"/>
      <c r="U169" s="389"/>
      <c r="V169" s="389"/>
      <c r="W169" s="389"/>
      <c r="X169" s="389"/>
      <c r="Y169" s="389"/>
      <c r="Z169" s="389"/>
      <c r="AA169" s="389"/>
      <c r="AB169" s="389"/>
      <c r="AC169" s="389"/>
      <c r="AD169" s="389"/>
      <c r="AE169" s="389"/>
      <c r="AF169" s="389"/>
      <c r="AG169" s="389"/>
      <c r="AH169" s="389"/>
      <c r="AI169" s="389"/>
      <c r="AJ169" s="389"/>
      <c r="AK169" s="389"/>
      <c r="AL169" s="389"/>
      <c r="AM169" s="389"/>
      <c r="AN169" s="389"/>
      <c r="AO169" s="389"/>
      <c r="AP169" s="389">
        <f t="shared" si="41"/>
        <v>8.090369598278329</v>
      </c>
      <c r="AQ169" s="350">
        <v>7.9892337816485295</v>
      </c>
      <c r="AR169" s="350">
        <v>7.9082558386929147</v>
      </c>
      <c r="AS169" s="350">
        <v>7.8272778957373008</v>
      </c>
      <c r="AT169" s="350">
        <v>7.7462999527816878</v>
      </c>
      <c r="AU169" s="350">
        <v>7.665322009826073</v>
      </c>
      <c r="AV169" s="390">
        <v>7.5843440668704591</v>
      </c>
      <c r="AW169" s="390">
        <v>7.5033661239148461</v>
      </c>
      <c r="AX169" s="390">
        <v>7.4223881809592323</v>
      </c>
      <c r="AY169" s="390">
        <v>7.3414102380036166</v>
      </c>
      <c r="AZ169" s="390">
        <v>7.2604322950480036</v>
      </c>
      <c r="BA169" s="390">
        <v>7.1794543520923897</v>
      </c>
      <c r="BB169" s="390">
        <v>7.0984764091367758</v>
      </c>
      <c r="BC169" s="390">
        <v>7.0174984661811619</v>
      </c>
      <c r="BD169" s="390">
        <v>6.936520523225548</v>
      </c>
      <c r="BE169" s="390">
        <v>6.855542580269935</v>
      </c>
      <c r="BF169" s="390">
        <v>6.7745646373143202</v>
      </c>
      <c r="BG169" s="390">
        <v>6.6935866943587055</v>
      </c>
      <c r="BH169" s="390">
        <v>6.6126087514030925</v>
      </c>
      <c r="BI169" s="390">
        <v>6.5316308084474768</v>
      </c>
      <c r="BJ169" s="390">
        <v>6.4506528654918629</v>
      </c>
      <c r="BK169" s="390">
        <v>6.3696749225362508</v>
      </c>
      <c r="BL169" s="390">
        <v>6.2886969795806351</v>
      </c>
      <c r="BM169" s="390">
        <v>6.2077190366250212</v>
      </c>
      <c r="BN169" s="390">
        <v>6.1267410936694073</v>
      </c>
      <c r="BO169" s="390">
        <v>6.0457631507137934</v>
      </c>
      <c r="BP169" s="390">
        <v>5.9647852077581787</v>
      </c>
      <c r="BQ169" s="390">
        <v>5.8838072648025666</v>
      </c>
      <c r="BR169" s="390">
        <v>5.8028293218469518</v>
      </c>
      <c r="BS169" s="390">
        <v>5.721851378891337</v>
      </c>
      <c r="BT169" s="390">
        <v>5.6408734359357222</v>
      </c>
      <c r="BU169" s="390">
        <v>5.5598954929801092</v>
      </c>
    </row>
    <row r="170" spans="1:73" s="62" customFormat="1" ht="15" x14ac:dyDescent="0.35">
      <c r="A170" s="4" t="s">
        <v>71</v>
      </c>
      <c r="B170" s="47" t="s">
        <v>48</v>
      </c>
      <c r="C170" s="97"/>
      <c r="D170" s="58" t="s">
        <v>121</v>
      </c>
      <c r="E170" s="100" t="s">
        <v>234</v>
      </c>
      <c r="F170" s="58"/>
      <c r="G170" s="391" t="str">
        <f t="shared" si="40"/>
        <v>Þús. tonn CO₂-íg. | kt CO₂e</v>
      </c>
      <c r="H170" s="389"/>
      <c r="I170" s="389"/>
      <c r="J170" s="389"/>
      <c r="K170" s="389"/>
      <c r="L170" s="389"/>
      <c r="M170" s="389"/>
      <c r="N170" s="389"/>
      <c r="O170" s="389"/>
      <c r="P170" s="389"/>
      <c r="Q170" s="389"/>
      <c r="R170" s="389"/>
      <c r="S170" s="389"/>
      <c r="T170" s="389"/>
      <c r="U170" s="389"/>
      <c r="V170" s="389"/>
      <c r="W170" s="389"/>
      <c r="X170" s="389"/>
      <c r="Y170" s="389"/>
      <c r="Z170" s="389"/>
      <c r="AA170" s="389"/>
      <c r="AB170" s="389"/>
      <c r="AC170" s="389"/>
      <c r="AD170" s="389"/>
      <c r="AE170" s="389"/>
      <c r="AF170" s="389"/>
      <c r="AG170" s="389"/>
      <c r="AH170" s="389"/>
      <c r="AI170" s="389"/>
      <c r="AJ170" s="389"/>
      <c r="AK170" s="389"/>
      <c r="AL170" s="389"/>
      <c r="AM170" s="389"/>
      <c r="AN170" s="389"/>
      <c r="AO170" s="389"/>
      <c r="AP170" s="389">
        <f t="shared" si="41"/>
        <v>3.5536094288607063</v>
      </c>
      <c r="AQ170" s="390">
        <v>3.5433665168301332</v>
      </c>
      <c r="AR170" s="390">
        <v>3.5074215089511309</v>
      </c>
      <c r="AS170" s="390">
        <v>3.4714823166996296</v>
      </c>
      <c r="AT170" s="390">
        <v>3.4355489400756309</v>
      </c>
      <c r="AU170" s="390">
        <v>3.3996213790791314</v>
      </c>
      <c r="AV170" s="390">
        <v>3.3636996337101324</v>
      </c>
      <c r="AW170" s="390">
        <v>3.3277837039686369</v>
      </c>
      <c r="AX170" s="390">
        <v>3.2918735898546396</v>
      </c>
      <c r="AY170" s="390">
        <v>3.2559692913681446</v>
      </c>
      <c r="AZ170" s="390">
        <v>3.2200708085091514</v>
      </c>
      <c r="BA170" s="390">
        <v>3.1841781412776591</v>
      </c>
      <c r="BB170" s="390">
        <v>3.1482912896736668</v>
      </c>
      <c r="BC170" s="390">
        <v>3.1124102536971754</v>
      </c>
      <c r="BD170" s="390">
        <v>3.0765350333481858</v>
      </c>
      <c r="BE170" s="390">
        <v>3.0406656286266971</v>
      </c>
      <c r="BF170" s="390">
        <v>3.0048020395327089</v>
      </c>
      <c r="BG170" s="390">
        <v>2.9689442660662224</v>
      </c>
      <c r="BH170" s="390">
        <v>2.9330923082272369</v>
      </c>
      <c r="BI170" s="390">
        <v>2.8972461660157527</v>
      </c>
      <c r="BJ170" s="390">
        <v>2.8614058394317676</v>
      </c>
      <c r="BK170" s="390">
        <v>2.8255713284752848</v>
      </c>
      <c r="BL170" s="390">
        <v>2.789742633146302</v>
      </c>
      <c r="BM170" s="390">
        <v>2.7539197534448214</v>
      </c>
      <c r="BN170" s="390">
        <v>2.7181026893708422</v>
      </c>
      <c r="BO170" s="390">
        <v>2.6822914409243639</v>
      </c>
      <c r="BP170" s="390">
        <v>2.6464860081053856</v>
      </c>
      <c r="BQ170" s="390">
        <v>2.6106863909139086</v>
      </c>
      <c r="BR170" s="390">
        <v>2.5748925893499335</v>
      </c>
      <c r="BS170" s="390">
        <v>2.5391046034134583</v>
      </c>
      <c r="BT170" s="390">
        <v>2.503322433104485</v>
      </c>
      <c r="BU170" s="390">
        <v>2.4675460784230125</v>
      </c>
    </row>
    <row r="171" spans="1:73" s="31" customFormat="1" x14ac:dyDescent="0.4">
      <c r="A171" s="38"/>
      <c r="B171" s="47" t="s">
        <v>317</v>
      </c>
      <c r="C171" s="5" t="s">
        <v>48</v>
      </c>
      <c r="D171" s="15" t="s">
        <v>23</v>
      </c>
      <c r="E171" s="14" t="s">
        <v>147</v>
      </c>
      <c r="F171" s="15"/>
      <c r="G171" s="16" t="str">
        <f t="shared" si="40"/>
        <v>Þús. tonn CO₂-íg. | kt CO₂e</v>
      </c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352">
        <f t="shared" si="41"/>
        <v>24.817131861593037</v>
      </c>
      <c r="AQ171" s="17">
        <f t="shared" ref="AQ171:BU171" si="45">SUM(AQ172:AQ174)</f>
        <v>24.756450354869045</v>
      </c>
      <c r="AR171" s="17">
        <f t="shared" si="45"/>
        <v>24.658098944336494</v>
      </c>
      <c r="AS171" s="17">
        <f t="shared" si="45"/>
        <v>24.559747533803943</v>
      </c>
      <c r="AT171" s="17">
        <f t="shared" si="45"/>
        <v>24.461396123271388</v>
      </c>
      <c r="AU171" s="17">
        <f t="shared" si="45"/>
        <v>24.363044712738834</v>
      </c>
      <c r="AV171" s="17">
        <f t="shared" si="45"/>
        <v>24.264693302206279</v>
      </c>
      <c r="AW171" s="17">
        <f t="shared" si="45"/>
        <v>24.166341891673724</v>
      </c>
      <c r="AX171" s="17">
        <f t="shared" si="45"/>
        <v>24.067990481141173</v>
      </c>
      <c r="AY171" s="17">
        <f t="shared" si="45"/>
        <v>23.969639070608626</v>
      </c>
      <c r="AZ171" s="17">
        <f t="shared" si="45"/>
        <v>23.871287660076074</v>
      </c>
      <c r="BA171" s="17">
        <f t="shared" si="45"/>
        <v>23.772936249543523</v>
      </c>
      <c r="BB171" s="17">
        <f t="shared" si="45"/>
        <v>23.674584839010972</v>
      </c>
      <c r="BC171" s="17">
        <f t="shared" si="45"/>
        <v>23.576233428478414</v>
      </c>
      <c r="BD171" s="17">
        <f t="shared" si="45"/>
        <v>23.477882017945859</v>
      </c>
      <c r="BE171" s="17">
        <f t="shared" si="45"/>
        <v>23.379530607413308</v>
      </c>
      <c r="BF171" s="17">
        <f t="shared" si="45"/>
        <v>23.281179196880764</v>
      </c>
      <c r="BG171" s="17">
        <f t="shared" si="45"/>
        <v>23.182827786348206</v>
      </c>
      <c r="BH171" s="17">
        <f t="shared" si="45"/>
        <v>23.084476375815651</v>
      </c>
      <c r="BI171" s="17">
        <f t="shared" si="45"/>
        <v>22.986124965283103</v>
      </c>
      <c r="BJ171" s="17">
        <f t="shared" si="45"/>
        <v>22.887773554750549</v>
      </c>
      <c r="BK171" s="17">
        <f t="shared" si="45"/>
        <v>22.789422144217994</v>
      </c>
      <c r="BL171" s="17">
        <f t="shared" si="45"/>
        <v>22.691070733685446</v>
      </c>
      <c r="BM171" s="17">
        <f t="shared" si="45"/>
        <v>22.592719323152888</v>
      </c>
      <c r="BN171" s="17">
        <f t="shared" si="45"/>
        <v>22.494367912620337</v>
      </c>
      <c r="BO171" s="17">
        <f t="shared" si="45"/>
        <v>22.396016502087789</v>
      </c>
      <c r="BP171" s="17">
        <f t="shared" si="45"/>
        <v>22.297665091555228</v>
      </c>
      <c r="BQ171" s="17">
        <f t="shared" si="45"/>
        <v>22.19931368102268</v>
      </c>
      <c r="BR171" s="17">
        <f t="shared" si="45"/>
        <v>22.100962270490125</v>
      </c>
      <c r="BS171" s="17">
        <f t="shared" si="45"/>
        <v>22.002610859957574</v>
      </c>
      <c r="BT171" s="17">
        <f t="shared" si="45"/>
        <v>21.904259449425023</v>
      </c>
      <c r="BU171" s="17">
        <f t="shared" si="45"/>
        <v>21.805908038892472</v>
      </c>
    </row>
    <row r="172" spans="1:73" s="62" customFormat="1" x14ac:dyDescent="0.35">
      <c r="A172" s="4" t="s">
        <v>72</v>
      </c>
      <c r="B172" s="47" t="s">
        <v>48</v>
      </c>
      <c r="C172" s="211" t="s">
        <v>48</v>
      </c>
      <c r="D172" s="58" t="s">
        <v>119</v>
      </c>
      <c r="E172" s="100" t="s">
        <v>232</v>
      </c>
      <c r="F172" s="58"/>
      <c r="G172" s="391" t="str">
        <f t="shared" si="40"/>
        <v>Þús. tonn CO₂-íg. | kt CO₂e</v>
      </c>
      <c r="H172" s="389"/>
      <c r="I172" s="389"/>
      <c r="J172" s="389"/>
      <c r="K172" s="389"/>
      <c r="L172" s="389"/>
      <c r="M172" s="389"/>
      <c r="N172" s="389"/>
      <c r="O172" s="389"/>
      <c r="P172" s="389"/>
      <c r="Q172" s="389"/>
      <c r="R172" s="389"/>
      <c r="S172" s="389"/>
      <c r="T172" s="389"/>
      <c r="U172" s="389"/>
      <c r="V172" s="389"/>
      <c r="W172" s="389"/>
      <c r="X172" s="389"/>
      <c r="Y172" s="389"/>
      <c r="Z172" s="389"/>
      <c r="AA172" s="389"/>
      <c r="AB172" s="389"/>
      <c r="AC172" s="389"/>
      <c r="AD172" s="389"/>
      <c r="AE172" s="389"/>
      <c r="AF172" s="389"/>
      <c r="AG172" s="389"/>
      <c r="AH172" s="389"/>
      <c r="AI172" s="389"/>
      <c r="AJ172" s="389"/>
      <c r="AK172" s="389"/>
      <c r="AL172" s="389"/>
      <c r="AM172" s="389"/>
      <c r="AN172" s="389"/>
      <c r="AO172" s="389"/>
      <c r="AP172" s="389">
        <f t="shared" si="41"/>
        <v>23.271972396252323</v>
      </c>
      <c r="AQ172" s="350">
        <v>23.216308318453425</v>
      </c>
      <c r="AR172" s="350">
        <v>23.123327820934399</v>
      </c>
      <c r="AS172" s="350">
        <v>23.03034732341537</v>
      </c>
      <c r="AT172" s="350">
        <v>22.937366825896341</v>
      </c>
      <c r="AU172" s="350">
        <v>22.844386328377311</v>
      </c>
      <c r="AV172" s="350">
        <v>22.751405830858282</v>
      </c>
      <c r="AW172" s="350">
        <v>22.658425333339252</v>
      </c>
      <c r="AX172" s="350">
        <v>22.565444835820227</v>
      </c>
      <c r="AY172" s="350">
        <v>22.472464338301201</v>
      </c>
      <c r="AZ172" s="350">
        <v>22.379483840782175</v>
      </c>
      <c r="BA172" s="350">
        <v>22.286503343263149</v>
      </c>
      <c r="BB172" s="350">
        <v>22.19352284574412</v>
      </c>
      <c r="BC172" s="350">
        <v>22.10054234822509</v>
      </c>
      <c r="BD172" s="350">
        <v>22.007561850706061</v>
      </c>
      <c r="BE172" s="350">
        <v>21.914581353187035</v>
      </c>
      <c r="BF172" s="350">
        <v>21.821600855668013</v>
      </c>
      <c r="BG172" s="350">
        <v>21.72862035814898</v>
      </c>
      <c r="BH172" s="350">
        <v>21.635639860629951</v>
      </c>
      <c r="BI172" s="350">
        <v>21.542659363110928</v>
      </c>
      <c r="BJ172" s="350">
        <v>21.449678865591899</v>
      </c>
      <c r="BK172" s="350">
        <v>21.35669836807287</v>
      </c>
      <c r="BL172" s="350">
        <v>21.263717870553844</v>
      </c>
      <c r="BM172" s="350">
        <v>21.170737373034811</v>
      </c>
      <c r="BN172" s="350">
        <v>21.077756875515785</v>
      </c>
      <c r="BO172" s="350">
        <v>20.984776377996759</v>
      </c>
      <c r="BP172" s="350">
        <v>20.891795880477726</v>
      </c>
      <c r="BQ172" s="350">
        <v>20.798815382958704</v>
      </c>
      <c r="BR172" s="350">
        <v>20.705834885439675</v>
      </c>
      <c r="BS172" s="350">
        <v>20.612854387920645</v>
      </c>
      <c r="BT172" s="350">
        <v>20.51987389040162</v>
      </c>
      <c r="BU172" s="350">
        <v>20.426893392882594</v>
      </c>
    </row>
    <row r="173" spans="1:73" s="62" customFormat="1" x14ac:dyDescent="0.35">
      <c r="A173" s="4" t="s">
        <v>73</v>
      </c>
      <c r="B173" s="47" t="s">
        <v>48</v>
      </c>
      <c r="C173" s="211" t="s">
        <v>48</v>
      </c>
      <c r="D173" s="58" t="s">
        <v>120</v>
      </c>
      <c r="E173" s="100" t="s">
        <v>233</v>
      </c>
      <c r="F173" s="58"/>
      <c r="G173" s="391" t="str">
        <f t="shared" si="40"/>
        <v>Þús. tonn CO₂-íg. | kt CO₂e</v>
      </c>
      <c r="H173" s="389"/>
      <c r="I173" s="389"/>
      <c r="J173" s="389"/>
      <c r="K173" s="389"/>
      <c r="L173" s="389"/>
      <c r="M173" s="389"/>
      <c r="N173" s="389"/>
      <c r="O173" s="389"/>
      <c r="P173" s="389"/>
      <c r="Q173" s="389"/>
      <c r="R173" s="389"/>
      <c r="S173" s="389"/>
      <c r="T173" s="389"/>
      <c r="U173" s="389"/>
      <c r="V173" s="389"/>
      <c r="W173" s="389"/>
      <c r="X173" s="389"/>
      <c r="Y173" s="389"/>
      <c r="Z173" s="389"/>
      <c r="AA173" s="389"/>
      <c r="AB173" s="389"/>
      <c r="AC173" s="389"/>
      <c r="AD173" s="389"/>
      <c r="AE173" s="389"/>
      <c r="AF173" s="389"/>
      <c r="AG173" s="389"/>
      <c r="AH173" s="389"/>
      <c r="AI173" s="389"/>
      <c r="AJ173" s="389"/>
      <c r="AK173" s="389"/>
      <c r="AL173" s="389"/>
      <c r="AM173" s="389"/>
      <c r="AN173" s="389"/>
      <c r="AO173" s="389"/>
      <c r="AP173" s="389">
        <f t="shared" si="41"/>
        <v>1.0657290226608163</v>
      </c>
      <c r="AQ173" s="390">
        <v>1.0623366339832934</v>
      </c>
      <c r="AR173" s="390">
        <v>1.0585907612173404</v>
      </c>
      <c r="AS173" s="390">
        <v>1.0548448884513877</v>
      </c>
      <c r="AT173" s="390">
        <v>1.0510990156854345</v>
      </c>
      <c r="AU173" s="390">
        <v>1.0473531429194813</v>
      </c>
      <c r="AV173" s="390">
        <v>1.0436072701535282</v>
      </c>
      <c r="AW173" s="390">
        <v>1.0398613973875752</v>
      </c>
      <c r="AX173" s="390">
        <v>1.0361155246216223</v>
      </c>
      <c r="AY173" s="390">
        <v>1.0323696518556695</v>
      </c>
      <c r="AZ173" s="390">
        <v>1.0286237790897164</v>
      </c>
      <c r="BA173" s="390">
        <v>1.0248779063237636</v>
      </c>
      <c r="BB173" s="390">
        <v>1.0211320335578107</v>
      </c>
      <c r="BC173" s="390">
        <v>1.0173861607918577</v>
      </c>
      <c r="BD173" s="390">
        <v>1.0136402880259043</v>
      </c>
      <c r="BE173" s="390">
        <v>1.0098944152599516</v>
      </c>
      <c r="BF173" s="390">
        <v>1.0061485424939989</v>
      </c>
      <c r="BG173" s="390">
        <v>1.0024026697280455</v>
      </c>
      <c r="BH173" s="390">
        <v>0.99865679696209242</v>
      </c>
      <c r="BI173" s="390">
        <v>0.99491092419613958</v>
      </c>
      <c r="BJ173" s="390">
        <v>0.99116505143018674</v>
      </c>
      <c r="BK173" s="390">
        <v>0.98741917866423357</v>
      </c>
      <c r="BL173" s="390">
        <v>0.9836733058982805</v>
      </c>
      <c r="BM173" s="390">
        <v>0.97992743313232755</v>
      </c>
      <c r="BN173" s="390">
        <v>0.97618156036637471</v>
      </c>
      <c r="BO173" s="390">
        <v>0.97243568760042187</v>
      </c>
      <c r="BP173" s="390">
        <v>0.96868981483446848</v>
      </c>
      <c r="BQ173" s="390">
        <v>0.96494394206851597</v>
      </c>
      <c r="BR173" s="390">
        <v>0.96119806930256291</v>
      </c>
      <c r="BS173" s="390">
        <v>0.95745219653660985</v>
      </c>
      <c r="BT173" s="390">
        <v>0.95370632377065689</v>
      </c>
      <c r="BU173" s="390">
        <v>0.94996045100470405</v>
      </c>
    </row>
    <row r="174" spans="1:73" s="62" customFormat="1" x14ac:dyDescent="0.25">
      <c r="A174" s="4" t="s">
        <v>74</v>
      </c>
      <c r="B174" s="62" t="s">
        <v>48</v>
      </c>
      <c r="C174" s="211" t="s">
        <v>48</v>
      </c>
      <c r="D174" s="58" t="s">
        <v>121</v>
      </c>
      <c r="E174" s="100" t="s">
        <v>234</v>
      </c>
      <c r="F174" s="58"/>
      <c r="G174" s="391" t="str">
        <f t="shared" si="40"/>
        <v>Þús. tonn CO₂-íg. | kt CO₂e</v>
      </c>
      <c r="H174" s="389"/>
      <c r="I174" s="389"/>
      <c r="J174" s="389"/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389"/>
      <c r="Z174" s="389"/>
      <c r="AA174" s="389"/>
      <c r="AB174" s="389"/>
      <c r="AC174" s="389"/>
      <c r="AD174" s="389"/>
      <c r="AE174" s="389"/>
      <c r="AF174" s="389"/>
      <c r="AG174" s="389"/>
      <c r="AH174" s="389"/>
      <c r="AI174" s="389"/>
      <c r="AJ174" s="389"/>
      <c r="AK174" s="389"/>
      <c r="AL174" s="389"/>
      <c r="AM174" s="389"/>
      <c r="AN174" s="389"/>
      <c r="AO174" s="389"/>
      <c r="AP174" s="389">
        <f t="shared" si="41"/>
        <v>0.47943044267989998</v>
      </c>
      <c r="AQ174" s="392">
        <v>0.47780540243232805</v>
      </c>
      <c r="AR174" s="392">
        <v>0.47618036218475629</v>
      </c>
      <c r="AS174" s="392">
        <v>0.47455532193718458</v>
      </c>
      <c r="AT174" s="392">
        <v>0.47293028168961276</v>
      </c>
      <c r="AU174" s="392">
        <v>0.471305241442041</v>
      </c>
      <c r="AV174" s="392">
        <v>0.46968020119446918</v>
      </c>
      <c r="AW174" s="392">
        <v>0.46805516094689731</v>
      </c>
      <c r="AX174" s="392">
        <v>0.4664301206993256</v>
      </c>
      <c r="AY174" s="392">
        <v>0.46480508045175378</v>
      </c>
      <c r="AZ174" s="392">
        <v>0.46318004020418185</v>
      </c>
      <c r="BA174" s="392">
        <v>0.46155499995661015</v>
      </c>
      <c r="BB174" s="392">
        <v>0.45992995970903844</v>
      </c>
      <c r="BC174" s="392">
        <v>0.45830491946146673</v>
      </c>
      <c r="BD174" s="392">
        <v>0.45667987921389475</v>
      </c>
      <c r="BE174" s="392">
        <v>0.45505483896632298</v>
      </c>
      <c r="BF174" s="392">
        <v>0.45342979871875116</v>
      </c>
      <c r="BG174" s="392">
        <v>0.45180475847117946</v>
      </c>
      <c r="BH174" s="392">
        <v>0.45017971822360742</v>
      </c>
      <c r="BI174" s="392">
        <v>0.44855467797603576</v>
      </c>
      <c r="BJ174" s="392">
        <v>0.44692963772846395</v>
      </c>
      <c r="BK174" s="392">
        <v>0.44530459748089218</v>
      </c>
      <c r="BL174" s="392">
        <v>0.44367955723332048</v>
      </c>
      <c r="BM174" s="392">
        <v>0.4420545169857486</v>
      </c>
      <c r="BN174" s="392">
        <v>0.44042947673817678</v>
      </c>
      <c r="BO174" s="392">
        <v>0.43880443649060502</v>
      </c>
      <c r="BP174" s="392">
        <v>0.43717939624303309</v>
      </c>
      <c r="BQ174" s="392">
        <v>0.43555435599546138</v>
      </c>
      <c r="BR174" s="392">
        <v>0.43392931574788957</v>
      </c>
      <c r="BS174" s="392">
        <v>0.43230427550031775</v>
      </c>
      <c r="BT174" s="392">
        <v>0.43067923525274598</v>
      </c>
      <c r="BU174" s="392">
        <v>0.42905419500517428</v>
      </c>
    </row>
    <row r="175" spans="1:73" s="31" customFormat="1" x14ac:dyDescent="0.4">
      <c r="A175" s="38" t="s">
        <v>75</v>
      </c>
      <c r="B175" s="47" t="s">
        <v>318</v>
      </c>
      <c r="C175" s="5" t="s">
        <v>48</v>
      </c>
      <c r="D175" s="15" t="s">
        <v>220</v>
      </c>
      <c r="E175" s="14" t="s">
        <v>246</v>
      </c>
      <c r="F175" s="15"/>
      <c r="G175" s="16" t="str">
        <f t="shared" si="40"/>
        <v>Þús. tonn CO₂-íg. | kt CO₂e</v>
      </c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352">
        <f t="shared" si="41"/>
        <v>198.59147831329477</v>
      </c>
      <c r="AQ175" s="78">
        <v>199.43292541739251</v>
      </c>
      <c r="AR175" s="78">
        <v>200.90863427951859</v>
      </c>
      <c r="AS175" s="78">
        <v>202.41077724920626</v>
      </c>
      <c r="AT175" s="78">
        <v>203.78079057610094</v>
      </c>
      <c r="AU175" s="78">
        <v>204.19015250567392</v>
      </c>
      <c r="AV175" s="78">
        <v>204.59967798160588</v>
      </c>
      <c r="AW175" s="78">
        <v>205.00936453591595</v>
      </c>
      <c r="AX175" s="78">
        <v>205.41920975606916</v>
      </c>
      <c r="AY175" s="78">
        <v>205.82921128332791</v>
      </c>
      <c r="AZ175" s="78">
        <v>206.23936681116419</v>
      </c>
      <c r="BA175" s="78">
        <v>206.66053922471204</v>
      </c>
      <c r="BB175" s="78">
        <v>207.07098481056016</v>
      </c>
      <c r="BC175" s="78">
        <v>207.48157785666524</v>
      </c>
      <c r="BD175" s="78">
        <v>207.89231624942514</v>
      </c>
      <c r="BE175" s="78">
        <v>208.30319792035692</v>
      </c>
      <c r="BF175" s="78">
        <v>208.71422084482157</v>
      </c>
      <c r="BG175" s="78">
        <v>209.12538304079396</v>
      </c>
      <c r="BH175" s="78">
        <v>209.53668256767475</v>
      </c>
      <c r="BI175" s="78">
        <v>209.94811752514457</v>
      </c>
      <c r="BJ175" s="78">
        <v>210.35927778028844</v>
      </c>
      <c r="BK175" s="78">
        <v>210.77043803543231</v>
      </c>
      <c r="BL175" s="78">
        <v>211.1815982905762</v>
      </c>
      <c r="BM175" s="78">
        <v>211.59275854572005</v>
      </c>
      <c r="BN175" s="78">
        <v>212.00391880086394</v>
      </c>
      <c r="BO175" s="78">
        <v>212.41507905600784</v>
      </c>
      <c r="BP175" s="78">
        <v>212.82623931115174</v>
      </c>
      <c r="BQ175" s="78">
        <v>213.23739956629561</v>
      </c>
      <c r="BR175" s="78">
        <v>213.64855982143948</v>
      </c>
      <c r="BS175" s="78">
        <v>214.0597200765834</v>
      </c>
      <c r="BT175" s="78">
        <v>214.47088033172727</v>
      </c>
      <c r="BU175" s="78">
        <v>214.88204058687111</v>
      </c>
    </row>
    <row r="176" spans="1:73" s="31" customFormat="1" x14ac:dyDescent="0.4">
      <c r="A176" s="38"/>
      <c r="B176" s="47" t="s">
        <v>319</v>
      </c>
      <c r="C176" s="5" t="s">
        <v>48</v>
      </c>
      <c r="D176" s="15" t="s">
        <v>24</v>
      </c>
      <c r="E176" s="14" t="s">
        <v>189</v>
      </c>
      <c r="F176" s="15"/>
      <c r="G176" s="16" t="str">
        <f t="shared" si="40"/>
        <v>Þús. tonn CO₂-íg. | kt CO₂e</v>
      </c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352">
        <f t="shared" si="41"/>
        <v>20.377565843128309</v>
      </c>
      <c r="AQ176" s="17">
        <f t="shared" ref="AQ176:BU176" si="46">AQ177-SUM(AQ156,AQ163,AQ167,AQ171,AQ175)</f>
        <v>20.502753147133944</v>
      </c>
      <c r="AR176" s="17">
        <f t="shared" si="46"/>
        <v>20.519592605416278</v>
      </c>
      <c r="AS176" s="17">
        <f t="shared" si="46"/>
        <v>20.476208039313633</v>
      </c>
      <c r="AT176" s="17">
        <f t="shared" si="46"/>
        <v>20.484536507260373</v>
      </c>
      <c r="AU176" s="17">
        <f t="shared" si="46"/>
        <v>20.44111828388975</v>
      </c>
      <c r="AV176" s="17">
        <f t="shared" si="46"/>
        <v>20.449411415441318</v>
      </c>
      <c r="AW176" s="17">
        <f t="shared" si="46"/>
        <v>20.405956276802726</v>
      </c>
      <c r="AX176" s="17">
        <f t="shared" si="46"/>
        <v>20.414211010308691</v>
      </c>
      <c r="AY176" s="17">
        <f t="shared" si="46"/>
        <v>20.370716083155457</v>
      </c>
      <c r="AZ176" s="17">
        <f t="shared" si="46"/>
        <v>20.378929726546744</v>
      </c>
      <c r="BA176" s="17">
        <f t="shared" si="46"/>
        <v>20.335392493429936</v>
      </c>
      <c r="BB176" s="17">
        <f t="shared" si="46"/>
        <v>20.343562697940911</v>
      </c>
      <c r="BC176" s="17">
        <f t="shared" si="46"/>
        <v>20.299980973419565</v>
      </c>
      <c r="BD176" s="17">
        <f t="shared" si="46"/>
        <v>20.308105712117708</v>
      </c>
      <c r="BE176" s="17">
        <f t="shared" si="46"/>
        <v>20.264477623453331</v>
      </c>
      <c r="BF176" s="17">
        <f t="shared" si="46"/>
        <v>20.272555173946444</v>
      </c>
      <c r="BG176" s="17">
        <f t="shared" si="46"/>
        <v>20.228879145687188</v>
      </c>
      <c r="BH176" s="17">
        <f t="shared" si="46"/>
        <v>20.236908076465738</v>
      </c>
      <c r="BI176" s="17">
        <f t="shared" si="46"/>
        <v>20.193182818426862</v>
      </c>
      <c r="BJ176" s="17">
        <f t="shared" si="46"/>
        <v>20.201161978373193</v>
      </c>
      <c r="BK176" s="17">
        <f t="shared" si="46"/>
        <v>20.157386476580882</v>
      </c>
      <c r="BL176" s="17">
        <f t="shared" si="46"/>
        <v>20.165314987255215</v>
      </c>
      <c r="BM176" s="17">
        <f t="shared" si="46"/>
        <v>20.121488497489054</v>
      </c>
      <c r="BN176" s="17">
        <f t="shared" si="46"/>
        <v>20.129365747852262</v>
      </c>
      <c r="BO176" s="17">
        <f t="shared" si="46"/>
        <v>20.085487791476567</v>
      </c>
      <c r="BP176" s="17">
        <f t="shared" si="46"/>
        <v>20.093313434763331</v>
      </c>
      <c r="BQ176" s="17">
        <f t="shared" si="46"/>
        <v>20.049383796580969</v>
      </c>
      <c r="BR176" s="17">
        <f t="shared" si="46"/>
        <v>20.057157749078669</v>
      </c>
      <c r="BS176" s="17">
        <f t="shared" si="46"/>
        <v>20.013176476984086</v>
      </c>
      <c r="BT176" s="17">
        <f t="shared" si="46"/>
        <v>20.020898918512785</v>
      </c>
      <c r="BU176" s="17">
        <f t="shared" si="46"/>
        <v>19.976866324754837</v>
      </c>
    </row>
    <row r="177" spans="1:73" s="35" customFormat="1" x14ac:dyDescent="0.4">
      <c r="A177" s="38" t="s">
        <v>44</v>
      </c>
      <c r="B177" s="47" t="s">
        <v>268</v>
      </c>
      <c r="C177" s="5" t="s">
        <v>48</v>
      </c>
      <c r="D177" s="46" t="s">
        <v>135</v>
      </c>
      <c r="E177" s="21"/>
      <c r="F177" s="22"/>
      <c r="G177" s="23" t="str">
        <f t="shared" si="40"/>
        <v>Þús. tonn CO₂-íg. | kt CO₂e</v>
      </c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352">
        <f t="shared" si="41"/>
        <v>669.59914464131464</v>
      </c>
      <c r="AQ177" s="187">
        <v>673.08179574460871</v>
      </c>
      <c r="AR177" s="187">
        <v>673.41835300016351</v>
      </c>
      <c r="AS177" s="187">
        <v>673.19623770214559</v>
      </c>
      <c r="AT177" s="187">
        <v>672.87568068080157</v>
      </c>
      <c r="AU177" s="187">
        <v>671.48769930953154</v>
      </c>
      <c r="AV177" s="187">
        <v>670.14649749100101</v>
      </c>
      <c r="AW177" s="187">
        <v>668.76790307461727</v>
      </c>
      <c r="AX177" s="187">
        <v>667.44268629937437</v>
      </c>
      <c r="AY177" s="187">
        <v>666.04203933505767</v>
      </c>
      <c r="AZ177" s="187">
        <v>664.69071903405177</v>
      </c>
      <c r="BA177" s="187">
        <v>663.28409003970592</v>
      </c>
      <c r="BB177" s="187">
        <v>661.92444014565592</v>
      </c>
      <c r="BC177" s="187">
        <v>660.49511607331897</v>
      </c>
      <c r="BD177" s="187">
        <v>659.11814530760034</v>
      </c>
      <c r="BE177" s="187">
        <v>657.672446781899</v>
      </c>
      <c r="BF177" s="187">
        <v>656.28103813414009</v>
      </c>
      <c r="BG177" s="187">
        <v>654.82138713748839</v>
      </c>
      <c r="BH177" s="187">
        <v>653.41491695120055</v>
      </c>
      <c r="BI177" s="187">
        <v>651.93956908437315</v>
      </c>
      <c r="BJ177" s="187">
        <v>650.51732278427949</v>
      </c>
      <c r="BK177" s="187">
        <v>649.02627346151337</v>
      </c>
      <c r="BL177" s="187">
        <v>647.58846727680464</v>
      </c>
      <c r="BM177" s="187">
        <v>646.08160134166076</v>
      </c>
      <c r="BN177" s="187">
        <v>644.62788975339924</v>
      </c>
      <c r="BO177" s="187">
        <v>643.10513697191652</v>
      </c>
      <c r="BP177" s="187">
        <v>641.63549462025765</v>
      </c>
      <c r="BQ177" s="187">
        <v>640.09671663070799</v>
      </c>
      <c r="BR177" s="187">
        <v>638.6109621117065</v>
      </c>
      <c r="BS177" s="187">
        <v>637.05601846351271</v>
      </c>
      <c r="BT177" s="187">
        <v>635.55405162020065</v>
      </c>
      <c r="BU177" s="187">
        <v>633.98283589374171</v>
      </c>
    </row>
    <row r="178" spans="1:73" s="35" customFormat="1" x14ac:dyDescent="0.4">
      <c r="A178" s="47"/>
      <c r="B178" s="39"/>
      <c r="C178" s="48"/>
      <c r="D178" s="145"/>
      <c r="E178" s="68"/>
      <c r="F178" s="69"/>
      <c r="G178" s="104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2"/>
      <c r="AQ178" s="103"/>
    </row>
    <row r="179" spans="1:73" s="287" customFormat="1" ht="42.6" customHeight="1" x14ac:dyDescent="0.75">
      <c r="A179" s="280"/>
      <c r="B179" s="280"/>
      <c r="C179" s="280"/>
      <c r="D179" s="281" t="s">
        <v>198</v>
      </c>
      <c r="E179" s="282"/>
      <c r="F179" s="281"/>
      <c r="G179" s="283"/>
      <c r="H179" s="284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</row>
    <row r="180" spans="1:73" s="200" customFormat="1" ht="37.200000000000003" customHeight="1" x14ac:dyDescent="0.4">
      <c r="A180" s="198"/>
      <c r="B180" s="198"/>
      <c r="C180" s="198"/>
      <c r="D180" s="106"/>
      <c r="E180" s="199"/>
      <c r="F180" s="199"/>
      <c r="G180" s="107"/>
      <c r="H180" s="326"/>
      <c r="I180" s="327"/>
      <c r="J180" s="327"/>
      <c r="K180" s="327"/>
      <c r="L180" s="327"/>
      <c r="M180" s="327"/>
      <c r="N180" s="327"/>
      <c r="O180" s="327"/>
      <c r="P180" s="327"/>
      <c r="Q180" s="327"/>
      <c r="R180" s="327"/>
      <c r="S180" s="327"/>
      <c r="T180" s="327"/>
      <c r="U180" s="327"/>
      <c r="V180" s="327"/>
      <c r="W180" s="327"/>
      <c r="X180" s="327"/>
      <c r="Y180" s="327"/>
      <c r="Z180" s="327"/>
      <c r="AA180" s="327"/>
      <c r="AB180" s="327"/>
      <c r="AC180" s="327"/>
      <c r="AD180" s="327"/>
      <c r="AE180" s="327"/>
      <c r="AF180" s="327"/>
      <c r="AG180" s="327"/>
      <c r="AH180" s="327"/>
      <c r="AI180" s="327"/>
      <c r="AJ180" s="327"/>
      <c r="AK180" s="327"/>
      <c r="AL180" s="327"/>
      <c r="AM180" s="327"/>
      <c r="AN180" s="327"/>
      <c r="AO180" s="327"/>
      <c r="AP180" s="327"/>
      <c r="AQ180" s="327"/>
      <c r="AR180" s="327"/>
      <c r="AS180" s="327"/>
      <c r="AT180" s="327"/>
      <c r="AU180" s="327"/>
      <c r="AV180" s="327"/>
      <c r="AW180" s="327"/>
      <c r="AX180" s="327"/>
      <c r="AY180" s="327"/>
      <c r="AZ180" s="327"/>
      <c r="BA180" s="327"/>
      <c r="BB180" s="327"/>
      <c r="BC180" s="327"/>
      <c r="BD180" s="327"/>
      <c r="BE180" s="327"/>
      <c r="BF180" s="327"/>
      <c r="BG180" s="327"/>
      <c r="BH180" s="327"/>
      <c r="BI180" s="327"/>
      <c r="BJ180" s="327"/>
      <c r="BK180" s="327"/>
      <c r="BL180" s="327"/>
      <c r="BM180" s="327"/>
      <c r="BN180" s="327"/>
      <c r="BO180" s="327"/>
      <c r="BP180" s="327"/>
      <c r="BQ180" s="327"/>
      <c r="BR180" s="327"/>
      <c r="BS180" s="327"/>
      <c r="BT180" s="327"/>
      <c r="BU180" s="327"/>
    </row>
    <row r="181" spans="1:73" s="8" customFormat="1" ht="30.6" customHeight="1" x14ac:dyDescent="0.4">
      <c r="A181" s="108"/>
      <c r="B181" s="109" t="s">
        <v>48</v>
      </c>
      <c r="C181" s="5"/>
      <c r="D181" s="110" t="str">
        <f>$D$4</f>
        <v>Söguleg losun</v>
      </c>
      <c r="E181" s="110" t="s">
        <v>398</v>
      </c>
      <c r="F181" s="110"/>
      <c r="G181" s="110"/>
    </row>
    <row r="182" spans="1:73" s="112" customFormat="1" ht="16.350000000000001" customHeight="1" x14ac:dyDescent="0.35">
      <c r="A182" s="108" t="s">
        <v>80</v>
      </c>
      <c r="B182" s="109" t="s">
        <v>48</v>
      </c>
      <c r="C182" s="111" t="s">
        <v>48</v>
      </c>
      <c r="D182" s="15" t="s">
        <v>96</v>
      </c>
      <c r="E182" s="14" t="s">
        <v>204</v>
      </c>
      <c r="F182" s="15"/>
      <c r="G182" s="16" t="str">
        <f t="shared" ref="G182:G187" si="47">$G$5</f>
        <v>Þús. tonn CO₂-íg. | kt CO₂e</v>
      </c>
      <c r="H182" s="17">
        <v>-29.577321725207604</v>
      </c>
      <c r="I182" s="17">
        <v>-30.929192024518439</v>
      </c>
      <c r="J182" s="17">
        <v>-35.680017072928891</v>
      </c>
      <c r="K182" s="17">
        <v>-40.781480366077105</v>
      </c>
      <c r="L182" s="17">
        <v>-43.817763534130805</v>
      </c>
      <c r="M182" s="17">
        <v>-53.442691433681347</v>
      </c>
      <c r="N182" s="17">
        <v>-57.596627797205201</v>
      </c>
      <c r="O182" s="17">
        <v>-64.740126856367311</v>
      </c>
      <c r="P182" s="17">
        <v>-72.917966972189291</v>
      </c>
      <c r="Q182" s="17">
        <v>-79.075134075518164</v>
      </c>
      <c r="R182" s="17">
        <v>-89.938433326247463</v>
      </c>
      <c r="S182" s="17">
        <v>-95.450778710702849</v>
      </c>
      <c r="T182" s="17">
        <v>-104.15380769012003</v>
      </c>
      <c r="U182" s="17">
        <v>-114.69723099293303</v>
      </c>
      <c r="V182" s="17">
        <v>-121.00811885495146</v>
      </c>
      <c r="W182" s="17">
        <v>-140.28204095274921</v>
      </c>
      <c r="X182" s="17">
        <v>-146.81774655664805</v>
      </c>
      <c r="Y182" s="17">
        <v>-264.47854572721633</v>
      </c>
      <c r="Z182" s="17">
        <v>-268.08746225872557</v>
      </c>
      <c r="AA182" s="17">
        <v>-280.87754917577922</v>
      </c>
      <c r="AB182" s="17">
        <v>-303.68840042964337</v>
      </c>
      <c r="AC182" s="17">
        <v>-330.84581677793614</v>
      </c>
      <c r="AD182" s="17">
        <v>-342.21432682575522</v>
      </c>
      <c r="AE182" s="17">
        <v>-359.91628608211477</v>
      </c>
      <c r="AF182" s="17">
        <v>-383.52589373647049</v>
      </c>
      <c r="AG182" s="17">
        <v>-408.54263384940219</v>
      </c>
      <c r="AH182" s="17">
        <v>-432.62683889768022</v>
      </c>
      <c r="AI182" s="17">
        <v>-470.56708519521641</v>
      </c>
      <c r="AJ182" s="17">
        <v>-500.12980413754889</v>
      </c>
      <c r="AK182" s="17">
        <v>-501.28650208770966</v>
      </c>
      <c r="AL182" s="17">
        <v>-504.69423725886224</v>
      </c>
      <c r="AM182" s="17">
        <v>-505.29940535846055</v>
      </c>
      <c r="AN182" s="17">
        <v>-533.97896730846287</v>
      </c>
      <c r="AO182" s="17">
        <v>-553.69612674802886</v>
      </c>
      <c r="AP182" s="17">
        <v>-548.98804168208767</v>
      </c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</row>
    <row r="183" spans="1:73" s="112" customFormat="1" ht="16.350000000000001" customHeight="1" x14ac:dyDescent="0.4">
      <c r="A183" s="108" t="s">
        <v>81</v>
      </c>
      <c r="B183" s="109" t="s">
        <v>48</v>
      </c>
      <c r="C183" s="111" t="s">
        <v>48</v>
      </c>
      <c r="D183" s="15" t="s">
        <v>122</v>
      </c>
      <c r="E183" s="14" t="s">
        <v>148</v>
      </c>
      <c r="F183" s="15"/>
      <c r="G183" s="16" t="str">
        <f t="shared" si="47"/>
        <v>Þús. tonn CO₂-íg. | kt CO₂e</v>
      </c>
      <c r="H183" s="15">
        <v>1529.9587883036927</v>
      </c>
      <c r="I183" s="15">
        <v>1532.0364959029498</v>
      </c>
      <c r="J183" s="15">
        <v>1533.8931027248</v>
      </c>
      <c r="K183" s="15">
        <v>1535.862630323679</v>
      </c>
      <c r="L183" s="15">
        <v>1537.8602273572462</v>
      </c>
      <c r="M183" s="15">
        <v>1539.9024869549719</v>
      </c>
      <c r="N183" s="15">
        <v>1542.0814463953527</v>
      </c>
      <c r="O183" s="15">
        <v>1544.0139851209326</v>
      </c>
      <c r="P183" s="15">
        <v>1546.335632273175</v>
      </c>
      <c r="Q183" s="15">
        <v>1548.3518212122872</v>
      </c>
      <c r="R183" s="15">
        <v>1550.8982736209352</v>
      </c>
      <c r="S183" s="15">
        <v>1553.1705173666962</v>
      </c>
      <c r="T183" s="15">
        <v>1555.6924104381271</v>
      </c>
      <c r="U183" s="15">
        <v>1558.1250971624449</v>
      </c>
      <c r="V183" s="15">
        <v>1560.9161887563371</v>
      </c>
      <c r="W183" s="15">
        <v>1563.4399030920138</v>
      </c>
      <c r="X183" s="15">
        <v>1566.2413539907488</v>
      </c>
      <c r="Y183" s="15">
        <v>1569.1355796042599</v>
      </c>
      <c r="Z183" s="15">
        <v>1572.1538957975692</v>
      </c>
      <c r="AA183" s="15">
        <v>1640.9728213647359</v>
      </c>
      <c r="AB183" s="15">
        <v>1658.6283984555371</v>
      </c>
      <c r="AC183" s="15">
        <v>1676.2742755908178</v>
      </c>
      <c r="AD183" s="15">
        <v>1693.9105980506627</v>
      </c>
      <c r="AE183" s="15">
        <v>1711.5375078755421</v>
      </c>
      <c r="AF183" s="15">
        <v>1729.1551439619402</v>
      </c>
      <c r="AG183" s="15">
        <v>1746.6562663834591</v>
      </c>
      <c r="AH183" s="15">
        <v>1764.3644921751113</v>
      </c>
      <c r="AI183" s="15">
        <v>1781.9565204297353</v>
      </c>
      <c r="AJ183" s="15">
        <v>1799.5383180401809</v>
      </c>
      <c r="AK183" s="15">
        <v>1817.1122266206387</v>
      </c>
      <c r="AL183" s="15">
        <v>1834.7227834359535</v>
      </c>
      <c r="AM183" s="15">
        <v>1852.234644758727</v>
      </c>
      <c r="AN183" s="15">
        <v>1869.7833905322866</v>
      </c>
      <c r="AO183" s="15">
        <v>1887.3239808308297</v>
      </c>
      <c r="AP183" s="15">
        <v>1904.8811133888019</v>
      </c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</row>
    <row r="184" spans="1:73" s="112" customFormat="1" ht="16.350000000000001" customHeight="1" x14ac:dyDescent="0.4">
      <c r="A184" s="108" t="s">
        <v>82</v>
      </c>
      <c r="B184" s="109" t="s">
        <v>48</v>
      </c>
      <c r="C184" s="111" t="s">
        <v>48</v>
      </c>
      <c r="D184" s="15" t="s">
        <v>29</v>
      </c>
      <c r="E184" s="14" t="s">
        <v>149</v>
      </c>
      <c r="F184" s="15"/>
      <c r="G184" s="16" t="str">
        <f t="shared" si="47"/>
        <v>Þús. tonn CO₂-íg. | kt CO₂e</v>
      </c>
      <c r="H184" s="15">
        <v>4740.6702574238816</v>
      </c>
      <c r="I184" s="15">
        <v>4731.3140672293193</v>
      </c>
      <c r="J184" s="15">
        <v>4718.5259280443479</v>
      </c>
      <c r="K184" s="15">
        <v>4729.0193170591874</v>
      </c>
      <c r="L184" s="15">
        <v>4719.4300729500728</v>
      </c>
      <c r="M184" s="15">
        <v>4707.9571539156441</v>
      </c>
      <c r="N184" s="15">
        <v>4697.9119075454564</v>
      </c>
      <c r="O184" s="15">
        <v>4696.378095184682</v>
      </c>
      <c r="P184" s="15">
        <v>4698.7175826954344</v>
      </c>
      <c r="Q184" s="15">
        <v>4707.8846853092564</v>
      </c>
      <c r="R184" s="15">
        <v>4725.0785035376039</v>
      </c>
      <c r="S184" s="15">
        <v>4734.9935938622257</v>
      </c>
      <c r="T184" s="15">
        <v>4754.2075020925595</v>
      </c>
      <c r="U184" s="15">
        <v>4754.3145290684251</v>
      </c>
      <c r="V184" s="15">
        <v>4756.2908036397148</v>
      </c>
      <c r="W184" s="15">
        <v>4771.8795387154896</v>
      </c>
      <c r="X184" s="15">
        <v>4823.6563419665035</v>
      </c>
      <c r="Y184" s="15">
        <v>4843.2606676302394</v>
      </c>
      <c r="Z184" s="15">
        <v>4885.6458634096471</v>
      </c>
      <c r="AA184" s="15">
        <v>4885.3733566273222</v>
      </c>
      <c r="AB184" s="15">
        <v>4881.5879670922513</v>
      </c>
      <c r="AC184" s="15">
        <v>4877.6177554925289</v>
      </c>
      <c r="AD184" s="15">
        <v>4878.029011281249</v>
      </c>
      <c r="AE184" s="15">
        <v>4880.9033315529623</v>
      </c>
      <c r="AF184" s="15">
        <v>4882.319533357203</v>
      </c>
      <c r="AG184" s="15">
        <v>4882.978047316351</v>
      </c>
      <c r="AH184" s="15">
        <v>4875.5242323189395</v>
      </c>
      <c r="AI184" s="15">
        <v>4870.6343674409245</v>
      </c>
      <c r="AJ184" s="15">
        <v>4872.6972880127632</v>
      </c>
      <c r="AK184" s="15">
        <v>4871.781256458703</v>
      </c>
      <c r="AL184" s="15">
        <v>4868.024972057302</v>
      </c>
      <c r="AM184" s="15">
        <v>4857.982408442489</v>
      </c>
      <c r="AN184" s="15">
        <v>4855.9910192634225</v>
      </c>
      <c r="AO184" s="15">
        <v>4865.3819725633139</v>
      </c>
      <c r="AP184" s="15">
        <v>4860.0545959973206</v>
      </c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</row>
    <row r="185" spans="1:73" s="112" customFormat="1" ht="16.350000000000001" customHeight="1" x14ac:dyDescent="0.4">
      <c r="A185" s="108" t="s">
        <v>83</v>
      </c>
      <c r="B185" s="109" t="s">
        <v>48</v>
      </c>
      <c r="C185" s="111" t="s">
        <v>48</v>
      </c>
      <c r="D185" s="15" t="s">
        <v>30</v>
      </c>
      <c r="E185" s="14" t="s">
        <v>150</v>
      </c>
      <c r="F185" s="15"/>
      <c r="G185" s="16" t="str">
        <f t="shared" si="47"/>
        <v>Þús. tonn CO₂-íg. | kt CO₂e</v>
      </c>
      <c r="H185" s="15">
        <v>2.6585259182034857</v>
      </c>
      <c r="I185" s="15">
        <v>14.595401584870151</v>
      </c>
      <c r="J185" s="15">
        <v>14.51700899462779</v>
      </c>
      <c r="K185" s="15">
        <v>14.533232994627792</v>
      </c>
      <c r="L185" s="15">
        <v>14.55486499462779</v>
      </c>
      <c r="M185" s="15">
        <v>14.55486499462779</v>
      </c>
      <c r="N185" s="15">
        <v>18.134003449393777</v>
      </c>
      <c r="O185" s="15">
        <v>18.196763449393778</v>
      </c>
      <c r="P185" s="15">
        <v>18.50839606644373</v>
      </c>
      <c r="Q185" s="15">
        <v>18.521961399777062</v>
      </c>
      <c r="R185" s="15">
        <v>18.521961399777062</v>
      </c>
      <c r="S185" s="15">
        <v>18.917866399777065</v>
      </c>
      <c r="T185" s="15">
        <v>19.365522399777063</v>
      </c>
      <c r="U185" s="15">
        <v>19.552045733110393</v>
      </c>
      <c r="V185" s="15">
        <v>19.584182399777063</v>
      </c>
      <c r="W185" s="15">
        <v>19.443936711289375</v>
      </c>
      <c r="X185" s="15">
        <v>21.607283726639984</v>
      </c>
      <c r="Y185" s="15">
        <v>20.494161746475509</v>
      </c>
      <c r="Z185" s="15">
        <v>20.538561427768151</v>
      </c>
      <c r="AA185" s="15">
        <v>21.029356724496331</v>
      </c>
      <c r="AB185" s="15">
        <v>21.158290146896274</v>
      </c>
      <c r="AC185" s="15">
        <v>15.686390391163</v>
      </c>
      <c r="AD185" s="15">
        <v>15.723695057829669</v>
      </c>
      <c r="AE185" s="15">
        <v>15.804207057829668</v>
      </c>
      <c r="AF185" s="15">
        <v>16.069981783977877</v>
      </c>
      <c r="AG185" s="15">
        <v>16.181055815110266</v>
      </c>
      <c r="AH185" s="15">
        <v>14.727682777528623</v>
      </c>
      <c r="AI185" s="15">
        <v>14.859338689513955</v>
      </c>
      <c r="AJ185" s="15">
        <v>14.79376238468563</v>
      </c>
      <c r="AK185" s="15">
        <v>15.279062184685632</v>
      </c>
      <c r="AL185" s="15">
        <v>16.320244942284972</v>
      </c>
      <c r="AM185" s="15">
        <v>16.762905784685628</v>
      </c>
      <c r="AN185" s="15">
        <v>17.110517451352298</v>
      </c>
      <c r="AO185" s="15">
        <v>17.149517784685631</v>
      </c>
      <c r="AP185" s="15">
        <v>17.217344451352297</v>
      </c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</row>
    <row r="186" spans="1:73" s="112" customFormat="1" ht="16.350000000000001" customHeight="1" x14ac:dyDescent="0.4">
      <c r="A186" s="108" t="s">
        <v>97</v>
      </c>
      <c r="B186" s="109" t="s">
        <v>48</v>
      </c>
      <c r="C186" s="111" t="s">
        <v>48</v>
      </c>
      <c r="D186" s="15" t="s">
        <v>24</v>
      </c>
      <c r="E186" s="14" t="s">
        <v>189</v>
      </c>
      <c r="F186" s="15"/>
      <c r="G186" s="16" t="str">
        <f t="shared" si="47"/>
        <v>Þús. tonn CO₂-íg. | kt CO₂e</v>
      </c>
      <c r="H186" s="15">
        <f t="shared" ref="H186:AP186" si="48">H$187-SUM(H$182:H$185)</f>
        <v>26.277487604573253</v>
      </c>
      <c r="I186" s="15">
        <f t="shared" si="48"/>
        <v>28.502458577736434</v>
      </c>
      <c r="J186" s="15">
        <f t="shared" si="48"/>
        <v>30.727429550899615</v>
      </c>
      <c r="K186" s="15">
        <f t="shared" si="48"/>
        <v>32.952400524063705</v>
      </c>
      <c r="L186" s="15">
        <f t="shared" si="48"/>
        <v>35.177371497226886</v>
      </c>
      <c r="M186" s="15">
        <f t="shared" si="48"/>
        <v>37.402342470390977</v>
      </c>
      <c r="N186" s="15">
        <f t="shared" si="48"/>
        <v>39.627832241408214</v>
      </c>
      <c r="O186" s="15">
        <f t="shared" si="48"/>
        <v>41.844994445312295</v>
      </c>
      <c r="P186" s="15">
        <f t="shared" si="48"/>
        <v>44.080667236953559</v>
      </c>
      <c r="Q186" s="15">
        <f t="shared" si="48"/>
        <v>46.302661382014776</v>
      </c>
      <c r="R186" s="15">
        <f t="shared" si="48"/>
        <v>44.534390154566609</v>
      </c>
      <c r="S186" s="15">
        <f t="shared" si="48"/>
        <v>46.388820851148012</v>
      </c>
      <c r="T186" s="15">
        <f t="shared" si="48"/>
        <v>48.240691708980194</v>
      </c>
      <c r="U186" s="15">
        <f t="shared" si="48"/>
        <v>50.097618726978908</v>
      </c>
      <c r="V186" s="15">
        <f t="shared" si="48"/>
        <v>51.819392617695485</v>
      </c>
      <c r="W186" s="15">
        <f t="shared" si="48"/>
        <v>53.672918831046445</v>
      </c>
      <c r="X186" s="15">
        <f t="shared" si="48"/>
        <v>56.265616460788806</v>
      </c>
      <c r="Y186" s="15">
        <f t="shared" si="48"/>
        <v>57.341054642999552</v>
      </c>
      <c r="Z186" s="15">
        <f t="shared" si="48"/>
        <v>59.329407971697947</v>
      </c>
      <c r="AA186" s="15">
        <f t="shared" si="48"/>
        <v>58.939164801193328</v>
      </c>
      <c r="AB186" s="15">
        <f t="shared" si="48"/>
        <v>42.473632670051302</v>
      </c>
      <c r="AC186" s="15">
        <f t="shared" si="48"/>
        <v>40.560838411172881</v>
      </c>
      <c r="AD186" s="15">
        <f t="shared" si="48"/>
        <v>38.715807594459875</v>
      </c>
      <c r="AE186" s="15">
        <f t="shared" si="48"/>
        <v>36.856630708463854</v>
      </c>
      <c r="AF186" s="15">
        <f t="shared" si="48"/>
        <v>34.92747633252111</v>
      </c>
      <c r="AG186" s="15">
        <f t="shared" si="48"/>
        <v>33.169603181597267</v>
      </c>
      <c r="AH186" s="15">
        <f t="shared" si="48"/>
        <v>31.247066266931142</v>
      </c>
      <c r="AI186" s="15">
        <f t="shared" si="48"/>
        <v>29.321348666985614</v>
      </c>
      <c r="AJ186" s="15">
        <f t="shared" si="48"/>
        <v>27.547276828450777</v>
      </c>
      <c r="AK186" s="15">
        <f t="shared" si="48"/>
        <v>25.7331075985403</v>
      </c>
      <c r="AL186" s="15">
        <f t="shared" si="48"/>
        <v>35.585424011811483</v>
      </c>
      <c r="AM186" s="15">
        <f t="shared" si="48"/>
        <v>35.567014608194768</v>
      </c>
      <c r="AN186" s="15">
        <f t="shared" si="48"/>
        <v>34.508037343625801</v>
      </c>
      <c r="AO186" s="15">
        <f t="shared" si="48"/>
        <v>30.845585397018112</v>
      </c>
      <c r="AP186" s="15">
        <f t="shared" si="48"/>
        <v>35.557848980364724</v>
      </c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</row>
    <row r="187" spans="1:73" s="112" customFormat="1" ht="15" x14ac:dyDescent="0.4">
      <c r="A187" s="108" t="s">
        <v>45</v>
      </c>
      <c r="B187" s="109" t="s">
        <v>48</v>
      </c>
      <c r="C187" s="111" t="s">
        <v>48</v>
      </c>
      <c r="D187" s="46" t="s">
        <v>135</v>
      </c>
      <c r="E187" s="14"/>
      <c r="F187" s="22"/>
      <c r="G187" s="23" t="str">
        <f t="shared" si="47"/>
        <v>Þús. tonn CO₂-íg. | kt CO₂e</v>
      </c>
      <c r="H187" s="22">
        <v>6269.9877375251435</v>
      </c>
      <c r="I187" s="22">
        <v>6275.5192312703575</v>
      </c>
      <c r="J187" s="22">
        <v>6261.9834522417459</v>
      </c>
      <c r="K187" s="22">
        <v>6271.5861005354809</v>
      </c>
      <c r="L187" s="22">
        <v>6263.2047732650426</v>
      </c>
      <c r="M187" s="22">
        <v>6246.374156901953</v>
      </c>
      <c r="N187" s="22">
        <v>6240.1585618344061</v>
      </c>
      <c r="O187" s="22">
        <v>6235.6937113439535</v>
      </c>
      <c r="P187" s="22">
        <v>6234.7243112998167</v>
      </c>
      <c r="Q187" s="22">
        <v>6241.9859952278175</v>
      </c>
      <c r="R187" s="22">
        <v>6249.0946953866351</v>
      </c>
      <c r="S187" s="22">
        <v>6258.0200197691438</v>
      </c>
      <c r="T187" s="22">
        <v>6273.3523189493235</v>
      </c>
      <c r="U187" s="22">
        <v>6267.3920596980261</v>
      </c>
      <c r="V187" s="22">
        <v>6267.6024485585731</v>
      </c>
      <c r="W187" s="22">
        <v>6268.1542563970897</v>
      </c>
      <c r="X187" s="22">
        <v>6320.9528495880331</v>
      </c>
      <c r="Y187" s="22">
        <v>6225.7529178967579</v>
      </c>
      <c r="Z187" s="22">
        <v>6269.5802663479571</v>
      </c>
      <c r="AA187" s="22">
        <v>6325.4371503419688</v>
      </c>
      <c r="AB187" s="22">
        <v>6300.1598879350922</v>
      </c>
      <c r="AC187" s="22">
        <v>6279.2934431077456</v>
      </c>
      <c r="AD187" s="22">
        <v>6284.1647851584466</v>
      </c>
      <c r="AE187" s="22">
        <v>6285.1853911126827</v>
      </c>
      <c r="AF187" s="22">
        <v>6278.9462416991719</v>
      </c>
      <c r="AG187" s="22">
        <v>6270.442338847115</v>
      </c>
      <c r="AH187" s="22">
        <v>6253.2366346408298</v>
      </c>
      <c r="AI187" s="22">
        <v>6226.2044900319424</v>
      </c>
      <c r="AJ187" s="22">
        <v>6214.4468411285316</v>
      </c>
      <c r="AK187" s="22">
        <v>6228.6191507748572</v>
      </c>
      <c r="AL187" s="22">
        <v>6249.9591871884904</v>
      </c>
      <c r="AM187" s="22">
        <v>6257.2475682356353</v>
      </c>
      <c r="AN187" s="22">
        <v>6243.413997282224</v>
      </c>
      <c r="AO187" s="22">
        <v>6247.0049298278182</v>
      </c>
      <c r="AP187" s="22">
        <v>6268.7228611357514</v>
      </c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</row>
    <row r="188" spans="1:73" s="8" customFormat="1" x14ac:dyDescent="0.4">
      <c r="A188" s="108"/>
      <c r="B188" s="114"/>
      <c r="C188" s="111" t="s">
        <v>48</v>
      </c>
    </row>
    <row r="189" spans="1:73" s="8" customFormat="1" ht="35.4" customHeight="1" x14ac:dyDescent="0.4">
      <c r="A189" s="108"/>
      <c r="B189" s="109" t="s">
        <v>48</v>
      </c>
      <c r="C189" s="111" t="s">
        <v>48</v>
      </c>
      <c r="D189" s="1021" t="s">
        <v>445</v>
      </c>
      <c r="E189" s="1021" t="s">
        <v>446</v>
      </c>
      <c r="F189" s="110"/>
      <c r="G189" s="110"/>
    </row>
    <row r="190" spans="1:73" s="112" customFormat="1" ht="16.350000000000001" customHeight="1" x14ac:dyDescent="0.35">
      <c r="A190" s="108" t="s">
        <v>80</v>
      </c>
      <c r="B190" s="354" t="str">
        <f t="shared" ref="B190:B195" si="49">A190&amp;" WEM"</f>
        <v>4.A Forest Landkt CO2-eq WEM</v>
      </c>
      <c r="C190" s="111" t="s">
        <v>48</v>
      </c>
      <c r="D190" s="15" t="s">
        <v>96</v>
      </c>
      <c r="E190" s="14" t="s">
        <v>204</v>
      </c>
      <c r="F190" s="15"/>
      <c r="G190" s="16" t="str">
        <f t="shared" ref="G190:G195" si="50">$G$5</f>
        <v>Þús. tonn CO₂-íg. | kt CO₂e</v>
      </c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352">
        <f t="shared" ref="AP190:AP195" si="51">AP182</f>
        <v>-548.98804168208767</v>
      </c>
      <c r="AQ190" s="17">
        <v>-563.8687494991118</v>
      </c>
      <c r="AR190" s="17">
        <v>-582.05188080455719</v>
      </c>
      <c r="AS190" s="17">
        <v>-602.08454630966617</v>
      </c>
      <c r="AT190" s="17">
        <v>-625.17238211862377</v>
      </c>
      <c r="AU190" s="17">
        <v>-651.37901684439203</v>
      </c>
      <c r="AV190" s="17">
        <v>-677.01960892627744</v>
      </c>
      <c r="AW190" s="17">
        <v>-707.2088143571566</v>
      </c>
      <c r="AX190" s="17">
        <v>-739.40279433922376</v>
      </c>
      <c r="AY190" s="17">
        <v>-776.34808185846498</v>
      </c>
      <c r="AZ190" s="17">
        <v>-815.38379941472351</v>
      </c>
      <c r="BA190" s="17">
        <v>-853.11427896222938</v>
      </c>
      <c r="BB190" s="17">
        <v>-897.55846825001834</v>
      </c>
      <c r="BC190" s="17">
        <v>-943.27226102375425</v>
      </c>
      <c r="BD190" s="17">
        <v>-990.47937781359042</v>
      </c>
      <c r="BE190" s="17">
        <v>-1041.8517947895577</v>
      </c>
      <c r="BF190" s="17">
        <v>-1093.0216366569603</v>
      </c>
      <c r="BG190" s="17">
        <v>-1149.8708226271706</v>
      </c>
      <c r="BH190" s="17">
        <v>-1207.6023359050157</v>
      </c>
      <c r="BI190" s="17">
        <v>-1270.2965527372173</v>
      </c>
      <c r="BJ190" s="17">
        <v>-1340.0128495860247</v>
      </c>
      <c r="BK190" s="17">
        <v>-1406.4827706837609</v>
      </c>
      <c r="BL190" s="17">
        <v>-1483.6677201425823</v>
      </c>
      <c r="BM190" s="17">
        <v>-1562.6731418497964</v>
      </c>
      <c r="BN190" s="17">
        <v>-1642.3378336028816</v>
      </c>
      <c r="BO190" s="17">
        <v>-1725.8067612564071</v>
      </c>
      <c r="BP190" s="17">
        <v>-1810.3313262768818</v>
      </c>
      <c r="BQ190" s="17">
        <v>-1900.6964094235045</v>
      </c>
      <c r="BR190" s="17">
        <v>-1986.4179372012429</v>
      </c>
      <c r="BS190" s="17">
        <v>-2074.8129906425515</v>
      </c>
      <c r="BT190" s="17">
        <v>-2167.669271317282</v>
      </c>
      <c r="BU190" s="17">
        <v>-2257.1864190459032</v>
      </c>
    </row>
    <row r="191" spans="1:73" s="112" customFormat="1" ht="16.350000000000001" customHeight="1" x14ac:dyDescent="0.35">
      <c r="A191" s="108" t="s">
        <v>81</v>
      </c>
      <c r="B191" s="354" t="str">
        <f t="shared" si="49"/>
        <v>4.B Croplandkt CO2-eq WEM</v>
      </c>
      <c r="C191" s="111" t="s">
        <v>48</v>
      </c>
      <c r="D191" s="15" t="s">
        <v>122</v>
      </c>
      <c r="E191" s="14" t="s">
        <v>148</v>
      </c>
      <c r="F191" s="15"/>
      <c r="G191" s="16" t="str">
        <f t="shared" si="50"/>
        <v>Þús. tonn CO₂-íg. | kt CO₂e</v>
      </c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352">
        <f t="shared" si="51"/>
        <v>1904.8811133888019</v>
      </c>
      <c r="AQ191" s="17">
        <v>1922.4382459469305</v>
      </c>
      <c r="AR191" s="17">
        <v>1939.9953785050595</v>
      </c>
      <c r="AS191" s="17">
        <v>1957.5525110631884</v>
      </c>
      <c r="AT191" s="17">
        <v>1975.1096436213172</v>
      </c>
      <c r="AU191" s="17">
        <v>1991.8601497948134</v>
      </c>
      <c r="AV191" s="17">
        <v>2008.6106559683099</v>
      </c>
      <c r="AW191" s="17">
        <v>2025.3611621418061</v>
      </c>
      <c r="AX191" s="17">
        <v>2042.1116683153025</v>
      </c>
      <c r="AY191" s="17">
        <v>2058.8621744887987</v>
      </c>
      <c r="AZ191" s="17">
        <v>2075.612680662296</v>
      </c>
      <c r="BA191" s="17">
        <v>2092.363186835792</v>
      </c>
      <c r="BB191" s="17">
        <v>2109.113693009288</v>
      </c>
      <c r="BC191" s="17">
        <v>2125.8641991827849</v>
      </c>
      <c r="BD191" s="17">
        <v>2142.6147053562809</v>
      </c>
      <c r="BE191" s="17">
        <v>2159.3652115297773</v>
      </c>
      <c r="BF191" s="17">
        <v>2176.1157177032737</v>
      </c>
      <c r="BG191" s="17">
        <v>2192.8662238767706</v>
      </c>
      <c r="BH191" s="17">
        <v>2209.6167300502671</v>
      </c>
      <c r="BI191" s="17">
        <v>2226.3672362237635</v>
      </c>
      <c r="BJ191" s="17">
        <v>2243.1177423972599</v>
      </c>
      <c r="BK191" s="17">
        <v>2259.8682485707564</v>
      </c>
      <c r="BL191" s="17">
        <v>2276.6187547442523</v>
      </c>
      <c r="BM191" s="17">
        <v>2293.3692609177488</v>
      </c>
      <c r="BN191" s="17">
        <v>2310.1197670912452</v>
      </c>
      <c r="BO191" s="17">
        <v>2326.8702732647421</v>
      </c>
      <c r="BP191" s="17">
        <v>2343.6207794382385</v>
      </c>
      <c r="BQ191" s="17">
        <v>2360.3712856117349</v>
      </c>
      <c r="BR191" s="17">
        <v>2377.1217917852318</v>
      </c>
      <c r="BS191" s="17">
        <v>2393.8722979587278</v>
      </c>
      <c r="BT191" s="17">
        <v>2410.6228041322242</v>
      </c>
      <c r="BU191" s="17">
        <v>2427.3733103057207</v>
      </c>
    </row>
    <row r="192" spans="1:73" s="112" customFormat="1" ht="16.350000000000001" customHeight="1" x14ac:dyDescent="0.35">
      <c r="A192" s="108" t="s">
        <v>82</v>
      </c>
      <c r="B192" s="354" t="str">
        <f t="shared" si="49"/>
        <v>4.C Grasslandkt CO2-eq WEM</v>
      </c>
      <c r="C192" s="111" t="s">
        <v>48</v>
      </c>
      <c r="D192" s="15" t="s">
        <v>29</v>
      </c>
      <c r="E192" s="14" t="s">
        <v>149</v>
      </c>
      <c r="F192" s="15"/>
      <c r="G192" s="16" t="str">
        <f t="shared" si="50"/>
        <v>Þús. tonn CO₂-íg. | kt CO₂e</v>
      </c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352">
        <f t="shared" si="51"/>
        <v>4860.0545959973206</v>
      </c>
      <c r="AQ192" s="17">
        <v>4836.9143527260048</v>
      </c>
      <c r="AR192" s="17">
        <v>4813.2726968130346</v>
      </c>
      <c r="AS192" s="17">
        <v>4791.4778180092662</v>
      </c>
      <c r="AT192" s="17">
        <v>4770.2054307530707</v>
      </c>
      <c r="AU192" s="17">
        <v>4748.8121028926353</v>
      </c>
      <c r="AV192" s="17">
        <v>4729.6144352061719</v>
      </c>
      <c r="AW192" s="17">
        <v>4710.2999066503462</v>
      </c>
      <c r="AX192" s="17">
        <v>4691.8010717854931</v>
      </c>
      <c r="AY192" s="17">
        <v>4676.9316282833288</v>
      </c>
      <c r="AZ192" s="17">
        <v>4667.7333969537494</v>
      </c>
      <c r="BA192" s="17">
        <v>4664.5392553188467</v>
      </c>
      <c r="BB192" s="17">
        <v>4661.3558811922112</v>
      </c>
      <c r="BC192" s="17">
        <v>4690.550413426452</v>
      </c>
      <c r="BD192" s="17">
        <v>4686.4640267345712</v>
      </c>
      <c r="BE192" s="17">
        <v>4682.4373327701205</v>
      </c>
      <c r="BF192" s="17">
        <v>4679.286963111339</v>
      </c>
      <c r="BG192" s="17">
        <v>4668.7478548848003</v>
      </c>
      <c r="BH192" s="17">
        <v>4656.6327262153291</v>
      </c>
      <c r="BI192" s="17">
        <v>4642.593538565462</v>
      </c>
      <c r="BJ192" s="17">
        <v>4629.4774460122771</v>
      </c>
      <c r="BK192" s="17">
        <v>4617.3609036820017</v>
      </c>
      <c r="BL192" s="17">
        <v>4604.9730815642679</v>
      </c>
      <c r="BM192" s="17">
        <v>4592.1740437031222</v>
      </c>
      <c r="BN192" s="17">
        <v>4580.0433481107348</v>
      </c>
      <c r="BO192" s="17">
        <v>4566.405205547785</v>
      </c>
      <c r="BP192" s="17">
        <v>4547.3341577180036</v>
      </c>
      <c r="BQ192" s="17">
        <v>4528.8298710532117</v>
      </c>
      <c r="BR192" s="17">
        <v>4512.0873797809654</v>
      </c>
      <c r="BS192" s="17">
        <v>4493.6891149872854</v>
      </c>
      <c r="BT192" s="17">
        <v>4478.5765973639618</v>
      </c>
      <c r="BU192" s="17">
        <v>4465.4452343159064</v>
      </c>
    </row>
    <row r="193" spans="1:73" s="112" customFormat="1" ht="16.350000000000001" customHeight="1" x14ac:dyDescent="0.35">
      <c r="A193" s="108" t="s">
        <v>83</v>
      </c>
      <c r="B193" s="354" t="str">
        <f t="shared" si="49"/>
        <v>4.D Wetlandskt CO2-eq WEM</v>
      </c>
      <c r="C193" s="111" t="s">
        <v>48</v>
      </c>
      <c r="D193" s="15" t="s">
        <v>30</v>
      </c>
      <c r="E193" s="14" t="s">
        <v>150</v>
      </c>
      <c r="F193" s="15"/>
      <c r="G193" s="16" t="str">
        <f t="shared" si="50"/>
        <v>Þús. tonn CO₂-íg. | kt CO₂e</v>
      </c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352">
        <f t="shared" si="51"/>
        <v>17.217344451352297</v>
      </c>
      <c r="AQ193" s="17">
        <v>19.455624451352293</v>
      </c>
      <c r="AR193" s="17">
        <v>21.693904451352296</v>
      </c>
      <c r="AS193" s="17">
        <v>23.440959429410789</v>
      </c>
      <c r="AT193" s="17">
        <v>25.679239429410785</v>
      </c>
      <c r="AU193" s="17">
        <v>27.73304284674947</v>
      </c>
      <c r="AV193" s="17">
        <v>29.91027884674947</v>
      </c>
      <c r="AW193" s="17">
        <v>32.084288180082808</v>
      </c>
      <c r="AX193" s="17">
        <v>34.261524180082802</v>
      </c>
      <c r="AY193" s="17">
        <v>36.438760180082809</v>
      </c>
      <c r="AZ193" s="17">
        <v>38.496479564743559</v>
      </c>
      <c r="BA193" s="17">
        <v>40.673715564743553</v>
      </c>
      <c r="BB193" s="17">
        <v>42.84170257974354</v>
      </c>
      <c r="BC193" s="17">
        <v>45.018938579743562</v>
      </c>
      <c r="BD193" s="17">
        <v>47.196174579743563</v>
      </c>
      <c r="BE193" s="17">
        <v>49.373410579743549</v>
      </c>
      <c r="BF193" s="17">
        <v>51.550646579743542</v>
      </c>
      <c r="BG193" s="17">
        <v>53.727882579743522</v>
      </c>
      <c r="BH193" s="17">
        <v>55.905118579743544</v>
      </c>
      <c r="BI193" s="17">
        <v>58.082354579743551</v>
      </c>
      <c r="BJ193" s="17">
        <v>60.259590579743538</v>
      </c>
      <c r="BK193" s="17">
        <v>62.436826579743553</v>
      </c>
      <c r="BL193" s="17">
        <v>64.614062579743546</v>
      </c>
      <c r="BM193" s="17">
        <v>66.791298579743525</v>
      </c>
      <c r="BN193" s="17">
        <v>68.968534579743562</v>
      </c>
      <c r="BO193" s="17">
        <v>71.145770579743555</v>
      </c>
      <c r="BP193" s="17">
        <v>73.323006579743549</v>
      </c>
      <c r="BQ193" s="17">
        <v>75.500242579743556</v>
      </c>
      <c r="BR193" s="17">
        <v>77.67747857974355</v>
      </c>
      <c r="BS193" s="17">
        <v>79.854714579743558</v>
      </c>
      <c r="BT193" s="17">
        <v>82.031950579743551</v>
      </c>
      <c r="BU193" s="17">
        <v>84.209186579743545</v>
      </c>
    </row>
    <row r="194" spans="1:73" s="112" customFormat="1" ht="16.2" customHeight="1" x14ac:dyDescent="0.4">
      <c r="A194" s="108" t="s">
        <v>97</v>
      </c>
      <c r="B194" s="354" t="str">
        <f t="shared" si="49"/>
        <v>LULUCF Annað WEM</v>
      </c>
      <c r="C194" s="111" t="s">
        <v>48</v>
      </c>
      <c r="D194" s="15" t="s">
        <v>24</v>
      </c>
      <c r="E194" s="14" t="s">
        <v>189</v>
      </c>
      <c r="F194" s="15"/>
      <c r="G194" s="16" t="str">
        <f t="shared" si="50"/>
        <v>Þús. tonn CO₂-íg. | kt CO₂e</v>
      </c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352">
        <f t="shared" si="51"/>
        <v>35.557848980364724</v>
      </c>
      <c r="AQ194" s="15">
        <f t="shared" ref="AQ194:BU194" si="52">AQ195-SUM(AQ190:AQ193)</f>
        <v>34.74687975625875</v>
      </c>
      <c r="AR194" s="15">
        <f t="shared" si="52"/>
        <v>34.88666458517946</v>
      </c>
      <c r="AS194" s="15">
        <f t="shared" si="52"/>
        <v>33.85326857310065</v>
      </c>
      <c r="AT194" s="15">
        <f t="shared" si="52"/>
        <v>34.018409590683405</v>
      </c>
      <c r="AU194" s="15">
        <f t="shared" si="52"/>
        <v>32.991343334885642</v>
      </c>
      <c r="AV194" s="15">
        <f t="shared" si="52"/>
        <v>34.592016513448471</v>
      </c>
      <c r="AW194" s="15">
        <f t="shared" si="52"/>
        <v>34.641029559126764</v>
      </c>
      <c r="AX194" s="15">
        <f t="shared" si="52"/>
        <v>35.998671825444035</v>
      </c>
      <c r="AY194" s="15">
        <f t="shared" si="52"/>
        <v>36.395587364439962</v>
      </c>
      <c r="AZ194" s="15">
        <f t="shared" si="52"/>
        <v>37.752885196004172</v>
      </c>
      <c r="BA194" s="15">
        <f t="shared" si="52"/>
        <v>38.081751209809227</v>
      </c>
      <c r="BB194" s="15">
        <f t="shared" si="52"/>
        <v>39.060592246542001</v>
      </c>
      <c r="BC194" s="15">
        <f t="shared" si="52"/>
        <v>39.265769845741488</v>
      </c>
      <c r="BD194" s="15">
        <f t="shared" si="52"/>
        <v>40.336792558086017</v>
      </c>
      <c r="BE194" s="15">
        <f t="shared" si="52"/>
        <v>39.783525904284943</v>
      </c>
      <c r="BF194" s="15">
        <f t="shared" si="52"/>
        <v>39.765483086159293</v>
      </c>
      <c r="BG194" s="15">
        <f t="shared" si="52"/>
        <v>38.781443935187781</v>
      </c>
      <c r="BH194" s="15">
        <f t="shared" si="52"/>
        <v>38.157887231044697</v>
      </c>
      <c r="BI194" s="15">
        <f t="shared" si="52"/>
        <v>37.647231945939893</v>
      </c>
      <c r="BJ194" s="15">
        <f t="shared" si="52"/>
        <v>36.68359852633057</v>
      </c>
      <c r="BK194" s="15">
        <f t="shared" si="52"/>
        <v>35.930948571763111</v>
      </c>
      <c r="BL194" s="15">
        <f t="shared" si="52"/>
        <v>34.574065850800253</v>
      </c>
      <c r="BM194" s="15">
        <f t="shared" si="52"/>
        <v>32.314409811318001</v>
      </c>
      <c r="BN194" s="15">
        <f t="shared" si="52"/>
        <v>32.655567106788112</v>
      </c>
      <c r="BO194" s="15">
        <f t="shared" si="52"/>
        <v>30.0098678923232</v>
      </c>
      <c r="BP194" s="15">
        <f t="shared" si="52"/>
        <v>30.303934325002047</v>
      </c>
      <c r="BQ194" s="15">
        <f t="shared" si="52"/>
        <v>27.440186050198463</v>
      </c>
      <c r="BR194" s="15">
        <f t="shared" si="52"/>
        <v>28.056277092252458</v>
      </c>
      <c r="BS194" s="15">
        <f t="shared" si="52"/>
        <v>25.312964282808935</v>
      </c>
      <c r="BT194" s="15">
        <f t="shared" si="52"/>
        <v>24.93736906238064</v>
      </c>
      <c r="BU194" s="15">
        <f t="shared" si="52"/>
        <v>22.718380074227753</v>
      </c>
    </row>
    <row r="195" spans="1:73" s="1280" customFormat="1" ht="15" x14ac:dyDescent="0.35">
      <c r="A195" s="1277" t="s">
        <v>45</v>
      </c>
      <c r="B195" s="1278" t="str">
        <f t="shared" si="49"/>
        <v>4. LULUCFkt CO2-eq WEM</v>
      </c>
      <c r="C195" s="113" t="s">
        <v>48</v>
      </c>
      <c r="D195" s="46" t="s">
        <v>135</v>
      </c>
      <c r="E195" s="21"/>
      <c r="F195" s="22"/>
      <c r="G195" s="23" t="str">
        <f t="shared" si="50"/>
        <v>Þús. tonn CO₂-íg. | kt CO₂e</v>
      </c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1279">
        <f t="shared" si="51"/>
        <v>6268.7228611357514</v>
      </c>
      <c r="AQ195" s="24">
        <v>6249.6863533814349</v>
      </c>
      <c r="AR195" s="24">
        <v>6227.7967635500681</v>
      </c>
      <c r="AS195" s="24">
        <v>6204.2400107653002</v>
      </c>
      <c r="AT195" s="24">
        <v>6179.840341275858</v>
      </c>
      <c r="AU195" s="24">
        <v>6150.0176220246922</v>
      </c>
      <c r="AV195" s="24">
        <v>6125.7077776084025</v>
      </c>
      <c r="AW195" s="24">
        <v>6095.1775721742051</v>
      </c>
      <c r="AX195" s="24">
        <v>6064.7701417670996</v>
      </c>
      <c r="AY195" s="24">
        <v>6032.2800684581853</v>
      </c>
      <c r="AZ195" s="24">
        <v>6004.2116429620701</v>
      </c>
      <c r="BA195" s="24">
        <v>5982.5436299669618</v>
      </c>
      <c r="BB195" s="24">
        <v>5954.8134007777662</v>
      </c>
      <c r="BC195" s="24">
        <v>5957.4270600109676</v>
      </c>
      <c r="BD195" s="24">
        <v>5926.1323214150907</v>
      </c>
      <c r="BE195" s="24">
        <v>5889.1076859943687</v>
      </c>
      <c r="BF195" s="24">
        <v>5853.6971738235552</v>
      </c>
      <c r="BG195" s="24">
        <v>5804.252582649332</v>
      </c>
      <c r="BH195" s="24">
        <v>5752.7101261713688</v>
      </c>
      <c r="BI195" s="24">
        <v>5694.3938085776917</v>
      </c>
      <c r="BJ195" s="24">
        <v>5629.5255279295861</v>
      </c>
      <c r="BK195" s="24">
        <v>5569.1141567205041</v>
      </c>
      <c r="BL195" s="24">
        <v>5497.1122445964811</v>
      </c>
      <c r="BM195" s="24">
        <v>5421.9758711621362</v>
      </c>
      <c r="BN195" s="24">
        <v>5349.4493832856297</v>
      </c>
      <c r="BO195" s="24">
        <v>5268.6243560281873</v>
      </c>
      <c r="BP195" s="24">
        <v>5184.2505517841055</v>
      </c>
      <c r="BQ195" s="24">
        <v>5091.4451758713849</v>
      </c>
      <c r="BR195" s="24">
        <v>5008.5249900369499</v>
      </c>
      <c r="BS195" s="24">
        <v>4917.9161011660144</v>
      </c>
      <c r="BT195" s="24">
        <v>4828.4994498210281</v>
      </c>
      <c r="BU195" s="24">
        <v>4742.5596922296954</v>
      </c>
    </row>
    <row r="196" spans="1:73" s="112" customFormat="1" x14ac:dyDescent="0.4">
      <c r="A196" s="108"/>
      <c r="B196" s="114"/>
      <c r="C196" s="111" t="s">
        <v>48</v>
      </c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</row>
    <row r="197" spans="1:73" s="279" customFormat="1" ht="42.6" customHeight="1" x14ac:dyDescent="0.75">
      <c r="A197" s="269"/>
      <c r="B197" s="270" t="s">
        <v>48</v>
      </c>
      <c r="C197" s="271"/>
      <c r="D197" s="272" t="s">
        <v>151</v>
      </c>
      <c r="E197" s="273"/>
      <c r="F197" s="272"/>
      <c r="G197" s="274"/>
      <c r="H197" s="275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7"/>
      <c r="U197" s="277"/>
      <c r="V197" s="277"/>
      <c r="W197" s="277"/>
      <c r="X197" s="277"/>
      <c r="Y197" s="277"/>
      <c r="Z197" s="277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  <c r="AL197" s="277"/>
      <c r="AM197" s="277"/>
      <c r="AN197" s="277"/>
      <c r="AO197" s="277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  <c r="BE197" s="278"/>
      <c r="BF197" s="278"/>
      <c r="BG197" s="278"/>
      <c r="BH197" s="278"/>
      <c r="BI197" s="278"/>
      <c r="BJ197" s="278"/>
      <c r="BK197" s="278"/>
      <c r="BL197" s="278"/>
      <c r="BM197" s="278"/>
      <c r="BN197" s="278"/>
      <c r="BO197" s="278"/>
      <c r="BP197" s="278"/>
      <c r="BQ197" s="278"/>
      <c r="BR197" s="278"/>
      <c r="BS197" s="278"/>
      <c r="BT197" s="278"/>
      <c r="BU197" s="278"/>
    </row>
    <row r="198" spans="1:73" s="202" customFormat="1" ht="37.200000000000003" customHeight="1" x14ac:dyDescent="0.4">
      <c r="A198" s="328"/>
      <c r="B198" s="329"/>
      <c r="C198" s="330"/>
      <c r="D198" s="118"/>
      <c r="E198" s="201"/>
      <c r="F198" s="201"/>
      <c r="G198" s="119"/>
      <c r="H198" s="331"/>
      <c r="I198" s="332"/>
      <c r="J198" s="332"/>
      <c r="K198" s="332"/>
      <c r="L198" s="332"/>
      <c r="M198" s="332"/>
      <c r="N198" s="332"/>
      <c r="O198" s="332"/>
      <c r="P198" s="332"/>
      <c r="Q198" s="332"/>
      <c r="R198" s="332"/>
      <c r="S198" s="332"/>
      <c r="T198" s="332"/>
      <c r="U198" s="332"/>
      <c r="V198" s="332"/>
      <c r="W198" s="332"/>
      <c r="X198" s="332"/>
      <c r="Y198" s="332"/>
      <c r="Z198" s="332"/>
      <c r="AA198" s="332"/>
      <c r="AB198" s="332"/>
      <c r="AC198" s="332"/>
      <c r="AD198" s="332"/>
      <c r="AE198" s="332"/>
      <c r="AF198" s="332"/>
      <c r="AG198" s="332"/>
      <c r="AH198" s="332"/>
      <c r="AI198" s="332"/>
      <c r="AJ198" s="332"/>
      <c r="AK198" s="332"/>
      <c r="AL198" s="332"/>
      <c r="AM198" s="332"/>
      <c r="AN198" s="332"/>
      <c r="AO198" s="332"/>
      <c r="AP198" s="332"/>
      <c r="AQ198" s="332"/>
      <c r="AR198" s="332"/>
      <c r="AS198" s="332"/>
      <c r="AT198" s="332"/>
      <c r="AU198" s="332"/>
      <c r="AV198" s="332"/>
      <c r="AW198" s="332"/>
      <c r="AX198" s="332"/>
      <c r="AY198" s="332"/>
      <c r="AZ198" s="332"/>
      <c r="BA198" s="332"/>
      <c r="BB198" s="332"/>
      <c r="BC198" s="332"/>
      <c r="BD198" s="332"/>
      <c r="BE198" s="332"/>
      <c r="BF198" s="332"/>
      <c r="BG198" s="332"/>
      <c r="BH198" s="332"/>
      <c r="BI198" s="332"/>
      <c r="BJ198" s="332"/>
      <c r="BK198" s="332"/>
      <c r="BL198" s="332"/>
      <c r="BM198" s="332"/>
      <c r="BN198" s="332"/>
      <c r="BO198" s="332"/>
      <c r="BP198" s="332"/>
      <c r="BQ198" s="332"/>
      <c r="BR198" s="332"/>
      <c r="BS198" s="332"/>
      <c r="BT198" s="332"/>
      <c r="BU198" s="332"/>
    </row>
    <row r="199" spans="1:73" s="112" customFormat="1" x14ac:dyDescent="0.4">
      <c r="A199" s="4"/>
      <c r="B199" s="39" t="s">
        <v>48</v>
      </c>
      <c r="C199" s="48"/>
      <c r="D199" s="120" t="str">
        <f>$D$4</f>
        <v>Söguleg losun</v>
      </c>
      <c r="E199" s="120" t="s">
        <v>398</v>
      </c>
      <c r="F199" s="120"/>
      <c r="G199" s="120"/>
      <c r="H199" s="7"/>
      <c r="I199" s="8" t="s">
        <v>48</v>
      </c>
      <c r="J199" s="9"/>
      <c r="K199" s="10"/>
      <c r="L199" s="11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8"/>
    </row>
    <row r="200" spans="1:73" s="112" customFormat="1" x14ac:dyDescent="0.4">
      <c r="A200" s="38" t="s">
        <v>76</v>
      </c>
      <c r="B200" s="39" t="s">
        <v>48</v>
      </c>
      <c r="C200" s="48"/>
      <c r="D200" s="15" t="s">
        <v>25</v>
      </c>
      <c r="E200" s="14" t="s">
        <v>141</v>
      </c>
      <c r="F200" s="15"/>
      <c r="G200" s="16" t="str">
        <f>$G$5</f>
        <v>Þús. tonn CO₂-íg. | kt CO₂e</v>
      </c>
      <c r="H200" s="17">
        <v>172.53606160573185</v>
      </c>
      <c r="I200" s="17">
        <v>177.17689459972712</v>
      </c>
      <c r="J200" s="17">
        <v>191.3340701827706</v>
      </c>
      <c r="K200" s="17">
        <v>203.1029013543118</v>
      </c>
      <c r="L200" s="17">
        <v>213.84008956675834</v>
      </c>
      <c r="M200" s="17">
        <v>224.78911059949189</v>
      </c>
      <c r="N200" s="17">
        <v>231.71990901291827</v>
      </c>
      <c r="O200" s="17">
        <v>238.37014750314779</v>
      </c>
      <c r="P200" s="17">
        <v>246.67169624115184</v>
      </c>
      <c r="Q200" s="17">
        <v>255.63545202624636</v>
      </c>
      <c r="R200" s="17">
        <v>263.47299072845624</v>
      </c>
      <c r="S200" s="17">
        <v>273.57951002849359</v>
      </c>
      <c r="T200" s="17">
        <v>277.42981142363999</v>
      </c>
      <c r="U200" s="17">
        <v>280.7237355032218</v>
      </c>
      <c r="V200" s="17">
        <v>289.36358341001977</v>
      </c>
      <c r="W200" s="17">
        <v>283.88073703295896</v>
      </c>
      <c r="X200" s="17">
        <v>308.73464539352659</v>
      </c>
      <c r="Y200" s="17">
        <v>308.02966803621149</v>
      </c>
      <c r="Z200" s="17">
        <v>293.01549216116052</v>
      </c>
      <c r="AA200" s="17">
        <v>283.75050344880202</v>
      </c>
      <c r="AB200" s="17">
        <v>280.45500605778898</v>
      </c>
      <c r="AC200" s="17">
        <v>259.9436503224897</v>
      </c>
      <c r="AD200" s="17">
        <v>237.97107935754372</v>
      </c>
      <c r="AE200" s="17">
        <v>238.18718205726799</v>
      </c>
      <c r="AF200" s="17">
        <v>236.75247745728154</v>
      </c>
      <c r="AG200" s="17">
        <v>233.69345769894986</v>
      </c>
      <c r="AH200" s="17">
        <v>230.92311140512251</v>
      </c>
      <c r="AI200" s="17">
        <v>226.76234473413896</v>
      </c>
      <c r="AJ200" s="17">
        <v>226.65217521019284</v>
      </c>
      <c r="AK200" s="17">
        <v>201.10888758887586</v>
      </c>
      <c r="AL200" s="17">
        <v>229.71870281250821</v>
      </c>
      <c r="AM200" s="17">
        <v>236.23555643445795</v>
      </c>
      <c r="AN200" s="17">
        <v>226.69161876538172</v>
      </c>
      <c r="AO200" s="17">
        <v>215.59498621843665</v>
      </c>
      <c r="AP200" s="17">
        <v>203.07062729519799</v>
      </c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</row>
    <row r="201" spans="1:73" s="112" customFormat="1" x14ac:dyDescent="0.4">
      <c r="A201" s="38" t="s">
        <v>77</v>
      </c>
      <c r="B201" s="39" t="s">
        <v>48</v>
      </c>
      <c r="C201" s="48"/>
      <c r="D201" s="15" t="s">
        <v>26</v>
      </c>
      <c r="E201" s="14" t="s">
        <v>152</v>
      </c>
      <c r="F201" s="15"/>
      <c r="G201" s="16" t="str">
        <f>$G$5</f>
        <v>Þús. tonn CO₂-íg. | kt CO₂e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76">
        <v>0.35120000000000001</v>
      </c>
      <c r="N201" s="76">
        <v>0.35120000000000001</v>
      </c>
      <c r="O201" s="76">
        <v>0.35120000000000001</v>
      </c>
      <c r="P201" s="76">
        <v>0.35120000000000001</v>
      </c>
      <c r="Q201" s="76">
        <v>0.35120000000000001</v>
      </c>
      <c r="R201" s="76">
        <v>0.35120000000000001</v>
      </c>
      <c r="S201" s="76">
        <v>0.35120000000000001</v>
      </c>
      <c r="T201" s="76">
        <v>0.35120000000000001</v>
      </c>
      <c r="U201" s="76">
        <v>0.52679999999999993</v>
      </c>
      <c r="V201" s="76">
        <v>0.52679999999999993</v>
      </c>
      <c r="W201" s="76">
        <v>0.878</v>
      </c>
      <c r="X201" s="77">
        <v>1.4048</v>
      </c>
      <c r="Y201" s="77">
        <v>1.756</v>
      </c>
      <c r="Z201" s="77">
        <v>1.8625891999999999</v>
      </c>
      <c r="AA201" s="77">
        <v>2.2367794543999997</v>
      </c>
      <c r="AB201" s="77">
        <v>2.6769409079200002</v>
      </c>
      <c r="AC201" s="77">
        <v>2.5077241083999997</v>
      </c>
      <c r="AD201" s="77">
        <v>1.9630763</v>
      </c>
      <c r="AE201" s="77">
        <v>2.6282052</v>
      </c>
      <c r="AF201" s="77">
        <v>3.5365840000000004</v>
      </c>
      <c r="AG201" s="77">
        <v>3.7405258400000001</v>
      </c>
      <c r="AH201" s="77">
        <v>4.005311324</v>
      </c>
      <c r="AI201" s="77">
        <v>3.8114029168000005</v>
      </c>
      <c r="AJ201" s="77">
        <v>4.2153498204000002</v>
      </c>
      <c r="AK201" s="77">
        <v>4.1907507188000004</v>
      </c>
      <c r="AL201" s="77">
        <v>5.6019828615157898</v>
      </c>
      <c r="AM201" s="77">
        <v>5.5284207998105259</v>
      </c>
      <c r="AN201" s="77">
        <v>2.6795484302947372</v>
      </c>
      <c r="AO201" s="77">
        <v>3.0298550013473684</v>
      </c>
      <c r="AP201" s="77">
        <v>6.6237543773473622</v>
      </c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</row>
    <row r="202" spans="1:73" s="112" customFormat="1" x14ac:dyDescent="0.4">
      <c r="A202" s="38" t="s">
        <v>78</v>
      </c>
      <c r="B202" s="39" t="s">
        <v>48</v>
      </c>
      <c r="C202" s="48"/>
      <c r="D202" s="15" t="s">
        <v>27</v>
      </c>
      <c r="E202" s="14" t="s">
        <v>153</v>
      </c>
      <c r="F202" s="15"/>
      <c r="G202" s="16" t="str">
        <f>$G$5</f>
        <v>Þús. tonn CO₂-íg. | kt CO₂e</v>
      </c>
      <c r="H202" s="17">
        <v>15.600052964345515</v>
      </c>
      <c r="I202" s="17">
        <v>15.482561392970339</v>
      </c>
      <c r="J202" s="17">
        <v>15.090417015446921</v>
      </c>
      <c r="K202" s="17">
        <v>12.969726427709464</v>
      </c>
      <c r="L202" s="17">
        <v>11.998726195395655</v>
      </c>
      <c r="M202" s="17">
        <v>10.652491415063672</v>
      </c>
      <c r="N202" s="17">
        <v>9.5904339991834107</v>
      </c>
      <c r="O202" s="77">
        <v>9.2159920304327336</v>
      </c>
      <c r="P202" s="77">
        <v>7.8716958547851945</v>
      </c>
      <c r="Q202" s="77">
        <v>6.5162739195936084</v>
      </c>
      <c r="R202" s="77">
        <v>6.260771279389818</v>
      </c>
      <c r="S202" s="77">
        <v>5.7366936821994381</v>
      </c>
      <c r="T202" s="77">
        <v>5.3423629461557942</v>
      </c>
      <c r="U202" s="77">
        <v>4.6138064720172016</v>
      </c>
      <c r="V202" s="77">
        <v>6.9203627534090515</v>
      </c>
      <c r="W202" s="77">
        <v>5.5573345470239897</v>
      </c>
      <c r="X202" s="77">
        <v>5.7497759114371663</v>
      </c>
      <c r="Y202" s="77">
        <v>8.7305811954460175</v>
      </c>
      <c r="Z202" s="77">
        <v>7.018919753655064</v>
      </c>
      <c r="AA202" s="77">
        <v>6.9010512572312743</v>
      </c>
      <c r="AB202" s="77">
        <v>6.6899681626095795</v>
      </c>
      <c r="AC202" s="77">
        <v>7.3850005751473908</v>
      </c>
      <c r="AD202" s="77">
        <v>7.1131856831429161</v>
      </c>
      <c r="AE202" s="77">
        <v>6.0870657461533337</v>
      </c>
      <c r="AF202" s="77">
        <v>8.2851327045513337</v>
      </c>
      <c r="AG202" s="77">
        <v>7.6186190672399992</v>
      </c>
      <c r="AH202" s="77">
        <v>8.1974943031173328</v>
      </c>
      <c r="AI202" s="77">
        <v>8.6037772833349315</v>
      </c>
      <c r="AJ202" s="77">
        <v>5.8784597129789287</v>
      </c>
      <c r="AK202" s="77">
        <v>6.8764170467203201</v>
      </c>
      <c r="AL202" s="77">
        <v>6.774474903877203</v>
      </c>
      <c r="AM202" s="77">
        <v>6.8975394851001743</v>
      </c>
      <c r="AN202" s="77">
        <v>7.1490361221504806</v>
      </c>
      <c r="AO202" s="77">
        <v>6.8078014722938942</v>
      </c>
      <c r="AP202" s="77">
        <v>7.4720719590998144</v>
      </c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</row>
    <row r="203" spans="1:73" s="112" customFormat="1" x14ac:dyDescent="0.4">
      <c r="A203" s="38" t="s">
        <v>79</v>
      </c>
      <c r="B203" s="39" t="s">
        <v>48</v>
      </c>
      <c r="C203" s="48"/>
      <c r="D203" s="15" t="s">
        <v>28</v>
      </c>
      <c r="E203" s="14" t="s">
        <v>154</v>
      </c>
      <c r="F203" s="15"/>
      <c r="G203" s="16" t="str">
        <f>$G$5</f>
        <v>Þús. tonn CO₂-íg. | kt CO₂e</v>
      </c>
      <c r="H203" s="17">
        <v>19.345020779100228</v>
      </c>
      <c r="I203" s="17">
        <v>19.372405796191497</v>
      </c>
      <c r="J203" s="17">
        <v>19.162533823586301</v>
      </c>
      <c r="K203" s="17">
        <v>20.335121598645546</v>
      </c>
      <c r="L203" s="17">
        <v>18.991903054974912</v>
      </c>
      <c r="M203" s="17">
        <v>19.626677927800159</v>
      </c>
      <c r="N203" s="17">
        <v>23.109310128809675</v>
      </c>
      <c r="O203" s="17">
        <v>24.331224723537272</v>
      </c>
      <c r="P203" s="17">
        <v>20.160997677126453</v>
      </c>
      <c r="Q203" s="17">
        <v>20.630917665430555</v>
      </c>
      <c r="R203" s="17">
        <v>22.421944491360364</v>
      </c>
      <c r="S203" s="17">
        <v>22.31959519462194</v>
      </c>
      <c r="T203" s="17">
        <v>23.514268841606206</v>
      </c>
      <c r="U203" s="17">
        <v>21.951657449834954</v>
      </c>
      <c r="V203" s="17">
        <v>20.01766345773153</v>
      </c>
      <c r="W203" s="17">
        <v>19.139014769946584</v>
      </c>
      <c r="X203" s="17">
        <v>17.186616440738185</v>
      </c>
      <c r="Y203" s="17">
        <v>18.081847224878508</v>
      </c>
      <c r="Z203" s="17">
        <v>17.178525246037918</v>
      </c>
      <c r="AA203" s="17">
        <v>16.320031684281027</v>
      </c>
      <c r="AB203" s="17">
        <v>15.854047309467846</v>
      </c>
      <c r="AC203" s="17">
        <v>16.497426670780428</v>
      </c>
      <c r="AD203" s="17">
        <v>18.979558466988504</v>
      </c>
      <c r="AE203" s="17">
        <v>18.440634240548075</v>
      </c>
      <c r="AF203" s="17">
        <v>16.85806803603878</v>
      </c>
      <c r="AG203" s="17">
        <v>19.304582901574598</v>
      </c>
      <c r="AH203" s="17">
        <v>17.369792856380645</v>
      </c>
      <c r="AI203" s="17">
        <v>18.820665002465439</v>
      </c>
      <c r="AJ203" s="17">
        <v>19.837882478192256</v>
      </c>
      <c r="AK203" s="17">
        <v>18.369341827075729</v>
      </c>
      <c r="AL203" s="17">
        <v>17.873616811657087</v>
      </c>
      <c r="AM203" s="17">
        <v>19.253720845919148</v>
      </c>
      <c r="AN203" s="17">
        <v>21.960082546328263</v>
      </c>
      <c r="AO203" s="17">
        <v>22.076223064578009</v>
      </c>
      <c r="AP203" s="17">
        <v>21.133487460058902</v>
      </c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</row>
    <row r="204" spans="1:73" s="112" customFormat="1" x14ac:dyDescent="0.4">
      <c r="A204" s="38" t="s">
        <v>46</v>
      </c>
      <c r="B204" s="39" t="s">
        <v>48</v>
      </c>
      <c r="C204" s="48"/>
      <c r="D204" s="46" t="s">
        <v>135</v>
      </c>
      <c r="E204" s="21"/>
      <c r="F204" s="22"/>
      <c r="G204" s="23" t="str">
        <f>$G$5</f>
        <v>Þús. tonn CO₂-íg. | kt CO₂e</v>
      </c>
      <c r="H204" s="24">
        <v>207.48113534917758</v>
      </c>
      <c r="I204" s="24">
        <v>212.03186178888896</v>
      </c>
      <c r="J204" s="24">
        <v>225.58702102180382</v>
      </c>
      <c r="K204" s="24">
        <v>236.40774938066681</v>
      </c>
      <c r="L204" s="24">
        <v>244.83071881712891</v>
      </c>
      <c r="M204" s="24">
        <v>255.41947994235574</v>
      </c>
      <c r="N204" s="24">
        <v>264.77085314091136</v>
      </c>
      <c r="O204" s="24">
        <v>272.26856425711782</v>
      </c>
      <c r="P204" s="24">
        <v>275.0555897730635</v>
      </c>
      <c r="Q204" s="24">
        <v>283.13384361127055</v>
      </c>
      <c r="R204" s="24">
        <v>292.50690649920642</v>
      </c>
      <c r="S204" s="24">
        <v>301.98699890531498</v>
      </c>
      <c r="T204" s="24">
        <v>306.63764321140201</v>
      </c>
      <c r="U204" s="24">
        <v>307.81599942507393</v>
      </c>
      <c r="V204" s="24">
        <v>316.82840962116035</v>
      </c>
      <c r="W204" s="24">
        <v>309.4550863499295</v>
      </c>
      <c r="X204" s="24">
        <v>333.07583774570196</v>
      </c>
      <c r="Y204" s="24">
        <v>336.59809645653598</v>
      </c>
      <c r="Z204" s="24">
        <v>319.07552636085347</v>
      </c>
      <c r="AA204" s="24">
        <v>309.20836584471436</v>
      </c>
      <c r="AB204" s="24">
        <v>305.67596243778644</v>
      </c>
      <c r="AC204" s="24">
        <v>286.33380167681753</v>
      </c>
      <c r="AD204" s="24">
        <v>266.02689980767514</v>
      </c>
      <c r="AE204" s="24">
        <v>265.34308724396942</v>
      </c>
      <c r="AF204" s="24">
        <v>265.43226219787164</v>
      </c>
      <c r="AG204" s="24">
        <v>264.35718550776443</v>
      </c>
      <c r="AH204" s="24">
        <v>260.49570988862047</v>
      </c>
      <c r="AI204" s="24">
        <v>257.99818993673932</v>
      </c>
      <c r="AJ204" s="24">
        <v>256.58386722176402</v>
      </c>
      <c r="AK204" s="24">
        <v>230.54539718147191</v>
      </c>
      <c r="AL204" s="24">
        <v>259.96877738955828</v>
      </c>
      <c r="AM204" s="24">
        <v>267.91523756528778</v>
      </c>
      <c r="AN204" s="24">
        <v>258.48028586415518</v>
      </c>
      <c r="AO204" s="24">
        <v>247.50886575665592</v>
      </c>
      <c r="AP204" s="24">
        <v>238.29994109170406</v>
      </c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</row>
    <row r="205" spans="1:73" s="112" customFormat="1" x14ac:dyDescent="0.4">
      <c r="A205" s="38"/>
      <c r="B205" s="39"/>
      <c r="C205" s="48"/>
      <c r="D205" s="69"/>
      <c r="E205" s="68"/>
      <c r="F205" s="69"/>
      <c r="G205" s="37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</row>
    <row r="206" spans="1:73" s="112" customFormat="1" ht="36" customHeight="1" x14ac:dyDescent="0.4">
      <c r="A206" s="4"/>
      <c r="B206" s="39" t="s">
        <v>48</v>
      </c>
      <c r="C206" s="48"/>
      <c r="D206" s="1022" t="s">
        <v>445</v>
      </c>
      <c r="E206" s="1022" t="s">
        <v>446</v>
      </c>
      <c r="F206" s="120"/>
      <c r="G206" s="120"/>
      <c r="H206" s="7"/>
      <c r="I206" s="8" t="s">
        <v>48</v>
      </c>
      <c r="J206" s="9"/>
      <c r="K206" s="10"/>
      <c r="L206" s="11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411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8"/>
    </row>
    <row r="207" spans="1:73" s="112" customFormat="1" x14ac:dyDescent="0.4">
      <c r="A207" s="38" t="s">
        <v>76</v>
      </c>
      <c r="B207" s="354" t="str">
        <f>A207&amp;" WEM"</f>
        <v>5.A Solid waste disposalkt CO2-eq WEM</v>
      </c>
      <c r="C207" s="48" t="s">
        <v>48</v>
      </c>
      <c r="D207" s="15" t="s">
        <v>25</v>
      </c>
      <c r="E207" s="14" t="s">
        <v>141</v>
      </c>
      <c r="F207" s="15"/>
      <c r="G207" s="16" t="str">
        <f>$G$5</f>
        <v>Þús. tonn CO₂-íg. | kt CO₂e</v>
      </c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352"/>
      <c r="AP207" s="352">
        <f>AP200</f>
        <v>203.07062729519799</v>
      </c>
      <c r="AQ207" s="17">
        <v>178.79107951336425</v>
      </c>
      <c r="AR207" s="17">
        <v>159.81300051699296</v>
      </c>
      <c r="AS207" s="17">
        <v>144.98238063804763</v>
      </c>
      <c r="AT207" s="17">
        <v>134.49042188831581</v>
      </c>
      <c r="AU207" s="17">
        <v>127.48817032659397</v>
      </c>
      <c r="AV207" s="17">
        <v>120.85159868610157</v>
      </c>
      <c r="AW207" s="17">
        <v>112.05789132782155</v>
      </c>
      <c r="AX207" s="17">
        <v>105.85914744231248</v>
      </c>
      <c r="AY207" s="17">
        <v>100.56944105960585</v>
      </c>
      <c r="AZ207" s="17">
        <v>96.090677732388286</v>
      </c>
      <c r="BA207" s="17">
        <v>90.464564398576357</v>
      </c>
      <c r="BB207" s="17">
        <v>83.986919572186281</v>
      </c>
      <c r="BC207" s="17">
        <v>78.084648440059851</v>
      </c>
      <c r="BD207" s="17">
        <v>72.6975340762652</v>
      </c>
      <c r="BE207" s="17">
        <v>67.772534606892805</v>
      </c>
      <c r="BF207" s="17">
        <v>63.262842571706415</v>
      </c>
      <c r="BG207" s="17">
        <v>59.127076318197325</v>
      </c>
      <c r="BH207" s="17">
        <v>55.328583954464186</v>
      </c>
      <c r="BI207" s="17">
        <v>51.834843366728308</v>
      </c>
      <c r="BJ207" s="17">
        <v>48.616944318220511</v>
      </c>
      <c r="BK207" s="17">
        <v>45.649140763806258</v>
      </c>
      <c r="BL207" s="17">
        <v>42.908463301973242</v>
      </c>
      <c r="BM207" s="17">
        <v>40.374383195392319</v>
      </c>
      <c r="BN207" s="17">
        <v>38.028520667329616</v>
      </c>
      <c r="BO207" s="17">
        <v>35.854391260746922</v>
      </c>
      <c r="BP207" s="17">
        <v>33.837184961017314</v>
      </c>
      <c r="BQ207" s="17">
        <v>31.963573557845066</v>
      </c>
      <c r="BR207" s="17">
        <v>30.221542379074155</v>
      </c>
      <c r="BS207" s="17">
        <v>28.600243086960653</v>
      </c>
      <c r="BT207" s="17">
        <v>27.08986470160194</v>
      </c>
      <c r="BU207" s="17">
        <v>25.681520419535062</v>
      </c>
    </row>
    <row r="208" spans="1:73" s="112" customFormat="1" x14ac:dyDescent="0.4">
      <c r="A208" s="38" t="s">
        <v>77</v>
      </c>
      <c r="B208" s="354" t="str">
        <f>A208&amp;" WEM"</f>
        <v>5.B Biological treatment of solid wastekt CO2-eq WEM</v>
      </c>
      <c r="C208" s="48" t="s">
        <v>48</v>
      </c>
      <c r="D208" s="15" t="s">
        <v>26</v>
      </c>
      <c r="E208" s="14" t="s">
        <v>152</v>
      </c>
      <c r="F208" s="15"/>
      <c r="G208" s="16" t="str">
        <f>$G$5</f>
        <v>Þús. tonn CO₂-íg. | kt CO₂e</v>
      </c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352"/>
      <c r="AP208" s="352">
        <f>AP201</f>
        <v>6.6237543773473622</v>
      </c>
      <c r="AQ208" s="204">
        <v>5.5181043178769995</v>
      </c>
      <c r="AR208" s="204">
        <v>5.5739152964701431</v>
      </c>
      <c r="AS208" s="204">
        <v>5.7982492112897681</v>
      </c>
      <c r="AT208" s="204">
        <v>6.0225831261093923</v>
      </c>
      <c r="AU208" s="204">
        <v>6.2469170409290173</v>
      </c>
      <c r="AV208" s="204">
        <v>6.4712509557486424</v>
      </c>
      <c r="AW208" s="204">
        <v>6.6397738919751239</v>
      </c>
      <c r="AX208" s="204">
        <v>6.8082968282016045</v>
      </c>
      <c r="AY208" s="204">
        <v>6.9768197644280869</v>
      </c>
      <c r="AZ208" s="204">
        <v>7.1453427006545684</v>
      </c>
      <c r="BA208" s="204">
        <v>7.31386563688105</v>
      </c>
      <c r="BB208" s="204">
        <v>7.4823885731075306</v>
      </c>
      <c r="BC208" s="204">
        <v>7.650911509334013</v>
      </c>
      <c r="BD208" s="204">
        <v>7.8194344455604936</v>
      </c>
      <c r="BE208" s="204">
        <v>7.987957381786976</v>
      </c>
      <c r="BF208" s="204">
        <v>8.1564803180134575</v>
      </c>
      <c r="BG208" s="204">
        <v>8.3250032542399381</v>
      </c>
      <c r="BH208" s="204">
        <v>8.4935261904664188</v>
      </c>
      <c r="BI208" s="204">
        <v>8.6620491266928994</v>
      </c>
      <c r="BJ208" s="204">
        <v>8.83057206291938</v>
      </c>
      <c r="BK208" s="204">
        <v>8.9990949991458642</v>
      </c>
      <c r="BL208" s="204">
        <v>9.1676179353723448</v>
      </c>
      <c r="BM208" s="204">
        <v>9.3361408715988254</v>
      </c>
      <c r="BN208" s="204">
        <v>9.5046638078253061</v>
      </c>
      <c r="BO208" s="204">
        <v>9.6731867440517902</v>
      </c>
      <c r="BP208" s="204">
        <v>9.8417096802782673</v>
      </c>
      <c r="BQ208" s="204">
        <v>10.010232616504751</v>
      </c>
      <c r="BR208" s="204">
        <v>10.178755552731232</v>
      </c>
      <c r="BS208" s="204">
        <v>10.347278488957716</v>
      </c>
      <c r="BT208" s="204">
        <v>10.515801425184193</v>
      </c>
      <c r="BU208" s="204">
        <v>10.684324361410678</v>
      </c>
    </row>
    <row r="209" spans="1:73" s="112" customFormat="1" x14ac:dyDescent="0.4">
      <c r="A209" s="38" t="s">
        <v>78</v>
      </c>
      <c r="B209" s="354" t="str">
        <f>A209&amp;" WEM"</f>
        <v>5.C Incineration and open burning of wastekt CO2-eq WEM</v>
      </c>
      <c r="C209" s="48" t="s">
        <v>48</v>
      </c>
      <c r="D209" s="15" t="s">
        <v>27</v>
      </c>
      <c r="E209" s="14" t="s">
        <v>153</v>
      </c>
      <c r="F209" s="15"/>
      <c r="G209" s="16" t="str">
        <f>$G$5</f>
        <v>Þús. tonn CO₂-íg. | kt CO₂e</v>
      </c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352"/>
      <c r="AP209" s="352">
        <f>AP202</f>
        <v>7.4720719590998144</v>
      </c>
      <c r="AQ209" s="204">
        <v>7.1893543197707608</v>
      </c>
      <c r="AR209" s="204">
        <v>7.1893543197707608</v>
      </c>
      <c r="AS209" s="204">
        <v>7.1893543197707608</v>
      </c>
      <c r="AT209" s="204">
        <v>7.1893543197707608</v>
      </c>
      <c r="AU209" s="204">
        <v>7.1893543197707608</v>
      </c>
      <c r="AV209" s="204">
        <v>7.1893543197707608</v>
      </c>
      <c r="AW209" s="204">
        <v>7.1893543197707608</v>
      </c>
      <c r="AX209" s="204">
        <v>7.1893543197707608</v>
      </c>
      <c r="AY209" s="204">
        <v>7.1893543197707608</v>
      </c>
      <c r="AZ209" s="204">
        <v>7.1893543197707608</v>
      </c>
      <c r="BA209" s="204">
        <v>7.1893543197707608</v>
      </c>
      <c r="BB209" s="204">
        <v>7.1893543197707608</v>
      </c>
      <c r="BC209" s="204">
        <v>7.1893543197707608</v>
      </c>
      <c r="BD209" s="204">
        <v>7.1893543197707608</v>
      </c>
      <c r="BE209" s="204">
        <v>7.1893543197707608</v>
      </c>
      <c r="BF209" s="204">
        <v>7.1893543197707608</v>
      </c>
      <c r="BG209" s="204">
        <v>7.1893543197707608</v>
      </c>
      <c r="BH209" s="204">
        <v>7.1893543197707608</v>
      </c>
      <c r="BI209" s="204">
        <v>7.1893543197707608</v>
      </c>
      <c r="BJ209" s="204">
        <v>7.1893543197707608</v>
      </c>
      <c r="BK209" s="204">
        <v>7.1893543197707608</v>
      </c>
      <c r="BL209" s="204">
        <v>7.1893543197707608</v>
      </c>
      <c r="BM209" s="204">
        <v>7.1893543197707608</v>
      </c>
      <c r="BN209" s="204">
        <v>7.1893543197707608</v>
      </c>
      <c r="BO209" s="204">
        <v>7.1893543197707608</v>
      </c>
      <c r="BP209" s="204">
        <v>7.1893543197707608</v>
      </c>
      <c r="BQ209" s="204">
        <v>7.1893543197707608</v>
      </c>
      <c r="BR209" s="204">
        <v>7.1893543197707608</v>
      </c>
      <c r="BS209" s="204">
        <v>7.1893543197707608</v>
      </c>
      <c r="BT209" s="204">
        <v>7.1893543197707608</v>
      </c>
      <c r="BU209" s="204">
        <v>7.1893543197707608</v>
      </c>
    </row>
    <row r="210" spans="1:73" s="112" customFormat="1" x14ac:dyDescent="0.4">
      <c r="A210" s="38" t="s">
        <v>79</v>
      </c>
      <c r="B210" s="354" t="str">
        <f>A210&amp;" WEM"</f>
        <v>5.D Wastewater handlingkt CO2-eq WEM</v>
      </c>
      <c r="C210" s="48" t="s">
        <v>48</v>
      </c>
      <c r="D210" s="15" t="s">
        <v>28</v>
      </c>
      <c r="E210" s="14" t="s">
        <v>154</v>
      </c>
      <c r="F210" s="15"/>
      <c r="G210" s="16" t="str">
        <f>$G$5</f>
        <v>Þús. tonn CO₂-íg. | kt CO₂e</v>
      </c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352"/>
      <c r="AP210" s="352">
        <f>AP203</f>
        <v>21.133487460058902</v>
      </c>
      <c r="AQ210" s="205">
        <v>20.986771314669053</v>
      </c>
      <c r="AR210" s="205">
        <v>21.296903620412582</v>
      </c>
      <c r="AS210" s="205">
        <v>21.604888684901184</v>
      </c>
      <c r="AT210" s="205">
        <v>21.909386700655752</v>
      </c>
      <c r="AU210" s="205">
        <v>22.211301254459542</v>
      </c>
      <c r="AV210" s="205">
        <v>22.510663501999069</v>
      </c>
      <c r="AW210" s="205">
        <v>22.771411815898531</v>
      </c>
      <c r="AX210" s="205">
        <v>23.026741954499226</v>
      </c>
      <c r="AY210" s="205">
        <v>23.27525179383381</v>
      </c>
      <c r="AZ210" s="205">
        <v>23.519776732427079</v>
      </c>
      <c r="BA210" s="205">
        <v>23.760347925984444</v>
      </c>
      <c r="BB210" s="205">
        <v>23.997276954497348</v>
      </c>
      <c r="BC210" s="205">
        <v>24.227759572602015</v>
      </c>
      <c r="BD210" s="205">
        <v>24.451079137928868</v>
      </c>
      <c r="BE210" s="205">
        <v>24.668887035385055</v>
      </c>
      <c r="BF210" s="205">
        <v>24.875979834091442</v>
      </c>
      <c r="BG210" s="205">
        <v>25.076658538944717</v>
      </c>
      <c r="BH210" s="205">
        <v>25.272626998092598</v>
      </c>
      <c r="BI210" s="205">
        <v>25.459710003035628</v>
      </c>
      <c r="BJ210" s="205">
        <v>25.639901679488922</v>
      </c>
      <c r="BK210" s="205">
        <v>25.812298435587422</v>
      </c>
      <c r="BL210" s="205">
        <v>25.979081346575157</v>
      </c>
      <c r="BM210" s="205">
        <v>26.137788907914896</v>
      </c>
      <c r="BN210" s="205">
        <v>26.276892563278263</v>
      </c>
      <c r="BO210" s="205">
        <v>26.411379430145949</v>
      </c>
      <c r="BP210" s="205">
        <v>26.539442327317111</v>
      </c>
      <c r="BQ210" s="205">
        <v>26.653204555176945</v>
      </c>
      <c r="BR210" s="205">
        <v>26.758942499938904</v>
      </c>
      <c r="BS210" s="205">
        <v>26.859460401944425</v>
      </c>
      <c r="BT210" s="205">
        <v>26.95566184806956</v>
      </c>
      <c r="BU210" s="205">
        <v>27.039414531652774</v>
      </c>
    </row>
    <row r="211" spans="1:73" s="112" customFormat="1" x14ac:dyDescent="0.4">
      <c r="A211" s="38" t="s">
        <v>46</v>
      </c>
      <c r="B211" s="354" t="str">
        <f>A211&amp;" WEM"</f>
        <v>5. Wastekt CO2-eq WEM</v>
      </c>
      <c r="C211" s="48" t="s">
        <v>48</v>
      </c>
      <c r="D211" s="46" t="s">
        <v>135</v>
      </c>
      <c r="E211" s="21"/>
      <c r="F211" s="22"/>
      <c r="G211" s="23" t="str">
        <f>$G$5</f>
        <v>Þús. tonn CO₂-íg. | kt CO₂e</v>
      </c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352"/>
      <c r="AP211" s="352">
        <f>AP204</f>
        <v>238.29994109170406</v>
      </c>
      <c r="AQ211" s="206">
        <v>212.48530946568107</v>
      </c>
      <c r="AR211" s="206">
        <v>193.87317375364645</v>
      </c>
      <c r="AS211" s="206">
        <v>179.57487285400936</v>
      </c>
      <c r="AT211" s="206">
        <v>169.61174603485171</v>
      </c>
      <c r="AU211" s="206">
        <v>163.13574294175328</v>
      </c>
      <c r="AV211" s="206">
        <v>157.02286746362003</v>
      </c>
      <c r="AW211" s="206">
        <v>148.65843135546595</v>
      </c>
      <c r="AX211" s="206">
        <v>142.88354054478407</v>
      </c>
      <c r="AY211" s="206">
        <v>138.0108669376385</v>
      </c>
      <c r="AZ211" s="206">
        <v>133.9451514852407</v>
      </c>
      <c r="BA211" s="206">
        <v>128.72813228121259</v>
      </c>
      <c r="BB211" s="206">
        <v>122.65593941956192</v>
      </c>
      <c r="BC211" s="206">
        <v>117.15267384176663</v>
      </c>
      <c r="BD211" s="206">
        <v>112.15740197952532</v>
      </c>
      <c r="BE211" s="206">
        <v>107.61873334383559</v>
      </c>
      <c r="BF211" s="206">
        <v>103.48465704358206</v>
      </c>
      <c r="BG211" s="206">
        <v>99.718092431152741</v>
      </c>
      <c r="BH211" s="206">
        <v>96.284091462793953</v>
      </c>
      <c r="BI211" s="206">
        <v>93.145956816227596</v>
      </c>
      <c r="BJ211" s="206">
        <v>90.276772380399564</v>
      </c>
      <c r="BK211" s="206">
        <v>87.649888518310306</v>
      </c>
      <c r="BL211" s="206">
        <v>85.244516903691505</v>
      </c>
      <c r="BM211" s="206">
        <v>83.037667294676794</v>
      </c>
      <c r="BN211" s="206">
        <v>80.99943135820395</v>
      </c>
      <c r="BO211" s="206">
        <v>79.128311754715412</v>
      </c>
      <c r="BP211" s="206">
        <v>77.407691288383461</v>
      </c>
      <c r="BQ211" s="206">
        <v>75.816365049297517</v>
      </c>
      <c r="BR211" s="206">
        <v>74.348594751515037</v>
      </c>
      <c r="BS211" s="206">
        <v>72.996336297633547</v>
      </c>
      <c r="BT211" s="206">
        <v>71.750682294626444</v>
      </c>
      <c r="BU211" s="206">
        <v>70.59461363236926</v>
      </c>
    </row>
    <row r="212" spans="1:73" s="112" customFormat="1" x14ac:dyDescent="0.4">
      <c r="A212" s="38"/>
      <c r="B212" s="39"/>
      <c r="C212" s="48"/>
      <c r="D212" s="69"/>
      <c r="E212" s="68"/>
      <c r="F212" s="69"/>
      <c r="G212" s="37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</row>
    <row r="213" spans="1:73" s="268" customFormat="1" ht="42.6" customHeight="1" x14ac:dyDescent="0.75">
      <c r="A213" s="203"/>
      <c r="B213" s="264" t="s">
        <v>48</v>
      </c>
      <c r="C213" s="121"/>
      <c r="D213" s="263" t="s">
        <v>195</v>
      </c>
      <c r="E213" s="122"/>
      <c r="F213" s="122"/>
      <c r="G213" s="123"/>
      <c r="H213" s="124"/>
      <c r="I213" s="265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66"/>
      <c r="AI213" s="266"/>
      <c r="AJ213" s="266"/>
      <c r="AK213" s="266"/>
      <c r="AL213" s="266"/>
      <c r="AM213" s="266"/>
      <c r="AN213" s="266"/>
      <c r="AO213" s="266"/>
      <c r="AP213" s="267"/>
      <c r="AQ213" s="267"/>
      <c r="AR213" s="267"/>
      <c r="AS213" s="267"/>
      <c r="AT213" s="267"/>
      <c r="AU213" s="267"/>
      <c r="AV213" s="267"/>
      <c r="AW213" s="267"/>
      <c r="AX213" s="267"/>
      <c r="AY213" s="267"/>
      <c r="AZ213" s="267"/>
      <c r="BA213" s="267"/>
      <c r="BB213" s="267"/>
      <c r="BC213" s="267"/>
      <c r="BD213" s="267"/>
      <c r="BE213" s="267"/>
      <c r="BF213" s="267"/>
      <c r="BG213" s="267"/>
      <c r="BH213" s="267"/>
      <c r="BI213" s="267"/>
      <c r="BJ213" s="267"/>
      <c r="BK213" s="267"/>
      <c r="BL213" s="267"/>
      <c r="BM213" s="267"/>
      <c r="BN213" s="267"/>
      <c r="BO213" s="267"/>
      <c r="BP213" s="267"/>
      <c r="BQ213" s="267"/>
      <c r="BR213" s="267"/>
      <c r="BS213" s="267"/>
      <c r="BT213" s="267"/>
      <c r="BU213" s="267"/>
    </row>
    <row r="214" spans="1:73" s="209" customFormat="1" ht="37.200000000000003" customHeight="1" x14ac:dyDescent="0.4">
      <c r="A214" s="207"/>
      <c r="B214" s="333"/>
      <c r="C214" s="208"/>
      <c r="D214" s="1276" t="s">
        <v>200</v>
      </c>
      <c r="E214" s="1276"/>
      <c r="F214" s="1276"/>
      <c r="G214" s="1276"/>
      <c r="H214" s="334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335"/>
      <c r="AC214" s="335"/>
      <c r="AD214" s="335"/>
      <c r="AE214" s="335"/>
      <c r="AF214" s="335"/>
      <c r="AG214" s="335"/>
      <c r="AH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  <c r="AT214" s="335"/>
      <c r="AU214" s="335"/>
      <c r="AV214" s="335"/>
      <c r="AW214" s="335"/>
      <c r="AX214" s="335"/>
      <c r="AY214" s="335"/>
      <c r="AZ214" s="335"/>
      <c r="BA214" s="335"/>
      <c r="BB214" s="335"/>
      <c r="BC214" s="335"/>
      <c r="BD214" s="335"/>
      <c r="BE214" s="335"/>
      <c r="BF214" s="335"/>
      <c r="BG214" s="335"/>
      <c r="BH214" s="335"/>
      <c r="BI214" s="335"/>
      <c r="BJ214" s="335"/>
      <c r="BK214" s="335"/>
      <c r="BL214" s="335"/>
      <c r="BM214" s="335"/>
      <c r="BN214" s="335"/>
      <c r="BO214" s="335"/>
      <c r="BP214" s="335"/>
      <c r="BQ214" s="335"/>
      <c r="BR214" s="335"/>
      <c r="BS214" s="335"/>
      <c r="BT214" s="335"/>
      <c r="BU214" s="335"/>
    </row>
    <row r="215" spans="1:73" s="112" customFormat="1" x14ac:dyDescent="0.4">
      <c r="A215" s="4"/>
      <c r="B215" s="39" t="s">
        <v>48</v>
      </c>
      <c r="C215" s="48"/>
      <c r="D215" s="211" t="str">
        <f>$D$4</f>
        <v>Söguleg losun</v>
      </c>
      <c r="E215" s="125" t="s">
        <v>398</v>
      </c>
      <c r="F215" s="125"/>
      <c r="G215" s="125"/>
      <c r="H215" s="7"/>
      <c r="I215" s="8" t="s">
        <v>48</v>
      </c>
      <c r="J215" s="9"/>
      <c r="K215" s="10"/>
      <c r="L215" s="11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8"/>
    </row>
    <row r="216" spans="1:73" s="112" customFormat="1" x14ac:dyDescent="0.4">
      <c r="A216" s="38" t="s">
        <v>84</v>
      </c>
      <c r="B216" s="39" t="s">
        <v>48</v>
      </c>
      <c r="C216" s="48"/>
      <c r="D216" s="15" t="s">
        <v>31</v>
      </c>
      <c r="E216" s="14" t="s">
        <v>192</v>
      </c>
      <c r="F216" s="15"/>
      <c r="G216" s="16" t="str">
        <f>$G$5</f>
        <v>Þús. tonn CO₂-íg. | kt CO₂e</v>
      </c>
      <c r="H216" s="17">
        <v>221.10937807666664</v>
      </c>
      <c r="I216" s="17">
        <v>223.45648422493338</v>
      </c>
      <c r="J216" s="17">
        <v>204.96673222053337</v>
      </c>
      <c r="K216" s="17">
        <v>196.93769391346669</v>
      </c>
      <c r="L216" s="17">
        <v>215.03342151853334</v>
      </c>
      <c r="M216" s="17">
        <v>237.71387227506665</v>
      </c>
      <c r="N216" s="17">
        <v>273.30475524573336</v>
      </c>
      <c r="O216" s="17">
        <v>294.05093427306673</v>
      </c>
      <c r="P216" s="17">
        <v>340.36743871786666</v>
      </c>
      <c r="Q216" s="17">
        <v>365.77115387800001</v>
      </c>
      <c r="R216" s="17">
        <v>410.43408736853331</v>
      </c>
      <c r="S216" s="17">
        <v>351.43484296319997</v>
      </c>
      <c r="T216" s="17">
        <v>311.89578576600002</v>
      </c>
      <c r="U216" s="17">
        <v>335.20031285813332</v>
      </c>
      <c r="V216" s="17">
        <v>382.51090829640003</v>
      </c>
      <c r="W216" s="17">
        <v>424.43004818280002</v>
      </c>
      <c r="X216" s="17">
        <v>503.20407568560006</v>
      </c>
      <c r="Y216" s="17">
        <v>514.92035819013336</v>
      </c>
      <c r="Z216" s="17">
        <v>430.65361113226669</v>
      </c>
      <c r="AA216" s="17">
        <v>345.61492852480001</v>
      </c>
      <c r="AB216" s="17">
        <v>379.7535549454667</v>
      </c>
      <c r="AC216" s="17">
        <v>424.71952189760009</v>
      </c>
      <c r="AD216" s="17">
        <v>445.07818250000008</v>
      </c>
      <c r="AE216" s="17">
        <v>502.36303520266659</v>
      </c>
      <c r="AF216" s="17">
        <v>584.78753803533334</v>
      </c>
      <c r="AG216" s="17">
        <v>679.12283684040005</v>
      </c>
      <c r="AH216" s="17">
        <v>923.85523979279992</v>
      </c>
      <c r="AI216" s="17">
        <v>1155.4370035488</v>
      </c>
      <c r="AJ216" s="17">
        <v>1294.8181528967998</v>
      </c>
      <c r="AK216" s="17">
        <v>963.65322670770036</v>
      </c>
      <c r="AL216" s="17">
        <v>263.34999061560001</v>
      </c>
      <c r="AM216" s="17">
        <v>486.14060688480004</v>
      </c>
      <c r="AN216" s="17">
        <v>854.74603351946575</v>
      </c>
      <c r="AO216" s="17">
        <v>967.65275881202047</v>
      </c>
      <c r="AP216" s="17">
        <v>1007.0566484977654</v>
      </c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</row>
    <row r="217" spans="1:73" s="112" customFormat="1" x14ac:dyDescent="0.4">
      <c r="A217" s="38" t="s">
        <v>85</v>
      </c>
      <c r="B217" s="39" t="s">
        <v>48</v>
      </c>
      <c r="C217" s="48"/>
      <c r="D217" s="15" t="s">
        <v>32</v>
      </c>
      <c r="E217" s="14" t="s">
        <v>193</v>
      </c>
      <c r="F217" s="15"/>
      <c r="G217" s="16" t="str">
        <f>$G$5</f>
        <v>Þús. tonn CO₂-íg. | kt CO₂e</v>
      </c>
      <c r="H217" s="17">
        <v>28.078924997337403</v>
      </c>
      <c r="I217" s="17">
        <v>14.003294293724482</v>
      </c>
      <c r="J217" s="17">
        <v>20.477506171547937</v>
      </c>
      <c r="K217" s="17">
        <v>29.859948628888905</v>
      </c>
      <c r="L217" s="17">
        <v>33.981450185235616</v>
      </c>
      <c r="M217" s="17">
        <v>3.3673142021675906</v>
      </c>
      <c r="N217" s="17">
        <v>19.20316050014323</v>
      </c>
      <c r="O217" s="17">
        <v>38.488416696452902</v>
      </c>
      <c r="P217" s="17">
        <v>52.028676183577467</v>
      </c>
      <c r="Q217" s="17">
        <v>39.300358002951661</v>
      </c>
      <c r="R217" s="17">
        <v>54.39266252464077</v>
      </c>
      <c r="S217" s="17">
        <v>59.58949244727156</v>
      </c>
      <c r="T217" s="17">
        <v>85.828630656119159</v>
      </c>
      <c r="U217" s="17">
        <v>19.407378412801254</v>
      </c>
      <c r="V217" s="17">
        <v>21.049201422195413</v>
      </c>
      <c r="W217" s="17">
        <v>1.7528135484112446</v>
      </c>
      <c r="X217" s="17">
        <v>17.329076702058739</v>
      </c>
      <c r="Y217" s="17">
        <v>12.056398064687073</v>
      </c>
      <c r="Z217" s="17">
        <v>47.983835185837414</v>
      </c>
      <c r="AA217" s="17">
        <v>8.2248711263977814</v>
      </c>
      <c r="AB217" s="17">
        <v>0.25239549866666666</v>
      </c>
      <c r="AC217" s="17">
        <v>50.095054390143758</v>
      </c>
      <c r="AD217" s="17">
        <v>23.973493968715886</v>
      </c>
      <c r="AE217" s="17">
        <v>78.828862465477414</v>
      </c>
      <c r="AF217" s="17">
        <v>71.218037488772836</v>
      </c>
      <c r="AG217" s="17">
        <v>149.09981223853765</v>
      </c>
      <c r="AH217" s="17">
        <v>186.28610486189032</v>
      </c>
      <c r="AI217" s="17">
        <v>213.30217433150287</v>
      </c>
      <c r="AJ217" s="17">
        <v>242.53078987824037</v>
      </c>
      <c r="AK217" s="17">
        <v>205.50549032160174</v>
      </c>
      <c r="AL217" s="17">
        <v>77.945079331447673</v>
      </c>
      <c r="AM217" s="17">
        <v>128.49715115063333</v>
      </c>
      <c r="AN217" s="17">
        <v>287.2349714397854</v>
      </c>
      <c r="AO217" s="17">
        <v>332.63504422233115</v>
      </c>
      <c r="AP217" s="17">
        <v>323.46414967664396</v>
      </c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</row>
    <row r="218" spans="1:73" s="112" customFormat="1" x14ac:dyDescent="0.4">
      <c r="A218" s="38" t="s">
        <v>216</v>
      </c>
      <c r="B218" s="39" t="s">
        <v>48</v>
      </c>
      <c r="C218" s="48"/>
      <c r="D218" s="46" t="s">
        <v>135</v>
      </c>
      <c r="E218" s="21"/>
      <c r="F218" s="22"/>
      <c r="G218" s="23" t="str">
        <f>$G$5</f>
        <v>Þús. tonn CO₂-íg. | kt CO₂e</v>
      </c>
      <c r="H218" s="24">
        <v>249.18830307400407</v>
      </c>
      <c r="I218" s="24">
        <v>237.45977851865786</v>
      </c>
      <c r="J218" s="24">
        <v>225.4442383920813</v>
      </c>
      <c r="K218" s="24">
        <v>226.79764254235559</v>
      </c>
      <c r="L218" s="24">
        <v>249.01487170376896</v>
      </c>
      <c r="M218" s="24">
        <v>241.08118647723427</v>
      </c>
      <c r="N218" s="24">
        <v>292.50791574587663</v>
      </c>
      <c r="O218" s="24">
        <v>332.53935096951966</v>
      </c>
      <c r="P218" s="24">
        <v>392.39611490144415</v>
      </c>
      <c r="Q218" s="24">
        <v>405.07151188095168</v>
      </c>
      <c r="R218" s="24">
        <v>464.82674989317411</v>
      </c>
      <c r="S218" s="24">
        <v>411.02433541047156</v>
      </c>
      <c r="T218" s="24">
        <v>397.72441642211913</v>
      </c>
      <c r="U218" s="24">
        <v>354.60769127093454</v>
      </c>
      <c r="V218" s="24">
        <v>403.56010971859541</v>
      </c>
      <c r="W218" s="24">
        <v>426.18286173121129</v>
      </c>
      <c r="X218" s="24">
        <v>520.53315238765879</v>
      </c>
      <c r="Y218" s="24">
        <v>526.97675625482043</v>
      </c>
      <c r="Z218" s="24">
        <v>478.63744631810414</v>
      </c>
      <c r="AA218" s="24">
        <v>353.83979965119778</v>
      </c>
      <c r="AB218" s="24">
        <v>380.00595044413336</v>
      </c>
      <c r="AC218" s="24">
        <v>474.81457628774382</v>
      </c>
      <c r="AD218" s="24">
        <v>469.05167646871598</v>
      </c>
      <c r="AE218" s="24">
        <v>581.19189766814407</v>
      </c>
      <c r="AF218" s="24">
        <v>656.00557552410612</v>
      </c>
      <c r="AG218" s="24">
        <v>828.22264907893759</v>
      </c>
      <c r="AH218" s="24">
        <v>1110.1413446546903</v>
      </c>
      <c r="AI218" s="24">
        <v>1368.7391778803028</v>
      </c>
      <c r="AJ218" s="24">
        <v>1537.3489427750405</v>
      </c>
      <c r="AK218" s="24">
        <v>1169.1587170293021</v>
      </c>
      <c r="AL218" s="24">
        <v>341.29506994704764</v>
      </c>
      <c r="AM218" s="24">
        <v>614.63775803543331</v>
      </c>
      <c r="AN218" s="24">
        <v>1141.9810049592513</v>
      </c>
      <c r="AO218" s="24">
        <v>1300.2878030343516</v>
      </c>
      <c r="AP218" s="24">
        <v>1330.5207981744095</v>
      </c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</row>
    <row r="219" spans="1:73" s="112" customFormat="1" x14ac:dyDescent="0.4">
      <c r="A219" s="38"/>
      <c r="B219" s="39"/>
      <c r="C219" s="48"/>
      <c r="D219" s="127"/>
      <c r="E219" s="126"/>
      <c r="F219" s="127"/>
      <c r="G219" s="128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</row>
    <row r="220" spans="1:73" s="112" customFormat="1" ht="36" customHeight="1" x14ac:dyDescent="0.4">
      <c r="A220" s="4"/>
      <c r="B220" s="39" t="s">
        <v>48</v>
      </c>
      <c r="D220" s="1023" t="s">
        <v>445</v>
      </c>
      <c r="E220" s="1023" t="s">
        <v>446</v>
      </c>
      <c r="F220" s="120"/>
      <c r="G220" s="120"/>
      <c r="H220" s="7"/>
      <c r="I220" s="8" t="s">
        <v>48</v>
      </c>
      <c r="J220" s="9"/>
      <c r="K220" s="10"/>
      <c r="L220" s="11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8"/>
    </row>
    <row r="221" spans="1:73" s="112" customFormat="1" x14ac:dyDescent="0.4">
      <c r="A221" s="38" t="s">
        <v>84</v>
      </c>
      <c r="B221" s="39" t="str">
        <f>A221&amp;" WEM"</f>
        <v>1.D.1.a International Aviationkt CO2-eq WEM</v>
      </c>
      <c r="C221" s="48" t="s">
        <v>48</v>
      </c>
      <c r="D221" s="15" t="s">
        <v>31</v>
      </c>
      <c r="E221" s="14" t="s">
        <v>192</v>
      </c>
      <c r="F221" s="15"/>
      <c r="G221" s="16" t="str">
        <f>$G$5</f>
        <v>Þús. tonn CO₂-íg. | kt CO₂e</v>
      </c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352"/>
      <c r="AP221" s="352">
        <f>AP216</f>
        <v>1007.0566484977654</v>
      </c>
      <c r="AQ221" s="17">
        <v>1045.2791915999999</v>
      </c>
      <c r="AR221" s="17">
        <v>1084.6757325599999</v>
      </c>
      <c r="AS221" s="17">
        <v>1123.1191314</v>
      </c>
      <c r="AT221" s="17">
        <v>1160.2916740799999</v>
      </c>
      <c r="AU221" s="17">
        <v>1196.8287886800001</v>
      </c>
      <c r="AV221" s="17">
        <v>1232.7304752</v>
      </c>
      <c r="AW221" s="17">
        <v>1248.6161772</v>
      </c>
      <c r="AX221" s="17">
        <v>1263.5487370800001</v>
      </c>
      <c r="AY221" s="17">
        <v>1276.5750127200001</v>
      </c>
      <c r="AZ221" s="17">
        <v>1288.6481462400002</v>
      </c>
      <c r="BA221" s="17">
        <v>1300.4035657200002</v>
      </c>
      <c r="BB221" s="17">
        <v>1311.5235571199999</v>
      </c>
      <c r="BC221" s="17">
        <v>1322.3258344800001</v>
      </c>
      <c r="BD221" s="17">
        <v>1332.17496972</v>
      </c>
      <c r="BE221" s="17">
        <v>1341.3886768799998</v>
      </c>
      <c r="BF221" s="17">
        <v>1350.28467</v>
      </c>
      <c r="BG221" s="17">
        <v>1357.90980696</v>
      </c>
      <c r="BH221" s="17">
        <v>1364.8995158400003</v>
      </c>
      <c r="BI221" s="17">
        <v>1371.25379664</v>
      </c>
      <c r="BJ221" s="17">
        <v>1377.2903634000002</v>
      </c>
      <c r="BK221" s="17">
        <v>1382.6915020800002</v>
      </c>
      <c r="BL221" s="17">
        <v>1387.7749267199999</v>
      </c>
      <c r="BM221" s="17">
        <v>1392.2229232800003</v>
      </c>
      <c r="BN221" s="17">
        <v>1396.03549176</v>
      </c>
      <c r="BO221" s="17">
        <v>1399.2126321599999</v>
      </c>
      <c r="BP221" s="17">
        <v>1402.3897725600002</v>
      </c>
      <c r="BQ221" s="17">
        <v>1402.7074866</v>
      </c>
      <c r="BR221" s="17">
        <v>1402.7074866</v>
      </c>
      <c r="BS221" s="17">
        <v>1401.7543444800001</v>
      </c>
      <c r="BT221" s="17">
        <v>1400.8012023600002</v>
      </c>
      <c r="BU221" s="17">
        <v>1399.2126321599999</v>
      </c>
    </row>
    <row r="222" spans="1:73" s="112" customFormat="1" x14ac:dyDescent="0.4">
      <c r="A222" s="38" t="s">
        <v>85</v>
      </c>
      <c r="B222" s="39" t="str">
        <f>A222&amp;" WEM"</f>
        <v>1.D.1.b International Navigation kt CO2-eq WEM</v>
      </c>
      <c r="C222" s="48" t="s">
        <v>48</v>
      </c>
      <c r="D222" s="15" t="s">
        <v>32</v>
      </c>
      <c r="E222" s="14" t="s">
        <v>193</v>
      </c>
      <c r="F222" s="15"/>
      <c r="G222" s="16" t="str">
        <f>$G$5</f>
        <v>Þús. tonn CO₂-íg. | kt CO₂e</v>
      </c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352"/>
      <c r="AP222" s="352">
        <f>AP217</f>
        <v>323.46414967664396</v>
      </c>
      <c r="AQ222" s="17">
        <v>337.12076407108702</v>
      </c>
      <c r="AR222" s="17">
        <v>347.00179909749903</v>
      </c>
      <c r="AS222" s="17">
        <v>356.55598240634691</v>
      </c>
      <c r="AT222" s="17">
        <v>365.78320882481597</v>
      </c>
      <c r="AU222" s="17">
        <v>374.67997599613579</v>
      </c>
      <c r="AV222" s="17">
        <v>383.23940739226572</v>
      </c>
      <c r="AW222" s="17">
        <v>379.91255007984364</v>
      </c>
      <c r="AX222" s="17">
        <v>381.83718070259249</v>
      </c>
      <c r="AY222" s="17">
        <v>383.43296632716471</v>
      </c>
      <c r="AZ222" s="17">
        <v>384.30894598706141</v>
      </c>
      <c r="BA222" s="17">
        <v>384.36675631808185</v>
      </c>
      <c r="BB222" s="17">
        <v>383.80157922603678</v>
      </c>
      <c r="BC222" s="17">
        <v>382.17420995108097</v>
      </c>
      <c r="BD222" s="17">
        <v>379.6233124081819</v>
      </c>
      <c r="BE222" s="17">
        <v>375.67334173929993</v>
      </c>
      <c r="BF222" s="17">
        <v>370.12679016291435</v>
      </c>
      <c r="BG222" s="17">
        <v>362.78919187755815</v>
      </c>
      <c r="BH222" s="17">
        <v>353.73597630153722</v>
      </c>
      <c r="BI222" s="17">
        <v>342.77180356096181</v>
      </c>
      <c r="BJ222" s="17">
        <v>329.4750055750381</v>
      </c>
      <c r="BK222" s="17">
        <v>314.01488950102998</v>
      </c>
      <c r="BL222" s="17">
        <v>296.18683450202064</v>
      </c>
      <c r="BM222" s="17">
        <v>276.40541214197532</v>
      </c>
      <c r="BN222" s="17">
        <v>254.95880708414251</v>
      </c>
      <c r="BO222" s="17">
        <v>232.10307202616318</v>
      </c>
      <c r="BP222" s="17">
        <v>208.75740102642192</v>
      </c>
      <c r="BQ222" s="17">
        <v>184.76897057377025</v>
      </c>
      <c r="BR222" s="17">
        <v>161.45882338098048</v>
      </c>
      <c r="BS222" s="17">
        <v>139.37438599008678</v>
      </c>
      <c r="BT222" s="17">
        <v>118.94623293442605</v>
      </c>
      <c r="BU222" s="17">
        <v>100.38859476486985</v>
      </c>
    </row>
    <row r="223" spans="1:73" s="112" customFormat="1" x14ac:dyDescent="0.4">
      <c r="A223" s="38" t="s">
        <v>249</v>
      </c>
      <c r="B223" s="39" t="str">
        <f>A223&amp;" WEM"</f>
        <v>1.D memo items (do not count towards national totals)kt CO2-eq WEM</v>
      </c>
      <c r="C223" s="20" t="s">
        <v>48</v>
      </c>
      <c r="D223" s="46" t="s">
        <v>135</v>
      </c>
      <c r="E223" s="21"/>
      <c r="F223" s="22"/>
      <c r="G223" s="23" t="str">
        <f>$G$5</f>
        <v>Þús. tonn CO₂-íg. | kt CO₂e</v>
      </c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352"/>
      <c r="AP223" s="352">
        <f>AP218</f>
        <v>1330.5207981744095</v>
      </c>
      <c r="AQ223" s="24">
        <v>1382.3999556710871</v>
      </c>
      <c r="AR223" s="24">
        <v>1431.677531657499</v>
      </c>
      <c r="AS223" s="24">
        <v>1479.6751138063469</v>
      </c>
      <c r="AT223" s="24">
        <v>1526.0748829048159</v>
      </c>
      <c r="AU223" s="24">
        <v>1571.508764676136</v>
      </c>
      <c r="AV223" s="24">
        <v>1615.9698825922655</v>
      </c>
      <c r="AW223" s="24">
        <v>1628.5287272798437</v>
      </c>
      <c r="AX223" s="24">
        <v>1645.3859177825927</v>
      </c>
      <c r="AY223" s="24">
        <v>1660.0079790471648</v>
      </c>
      <c r="AZ223" s="24">
        <v>1672.9570922270614</v>
      </c>
      <c r="BA223" s="24">
        <v>1684.7703220380822</v>
      </c>
      <c r="BB223" s="24">
        <v>1695.3251363460367</v>
      </c>
      <c r="BC223" s="24">
        <v>1704.5000444310808</v>
      </c>
      <c r="BD223" s="24">
        <v>1711.7982821281821</v>
      </c>
      <c r="BE223" s="24">
        <v>1717.0620186193</v>
      </c>
      <c r="BF223" s="24">
        <v>1720.4114601629144</v>
      </c>
      <c r="BG223" s="24">
        <v>1720.6989988375583</v>
      </c>
      <c r="BH223" s="24">
        <v>1718.6354921415373</v>
      </c>
      <c r="BI223" s="24">
        <v>1714.0256002009619</v>
      </c>
      <c r="BJ223" s="24">
        <v>1706.765368975038</v>
      </c>
      <c r="BK223" s="24">
        <v>1696.7063915810299</v>
      </c>
      <c r="BL223" s="24">
        <v>1683.9617612220206</v>
      </c>
      <c r="BM223" s="24">
        <v>1668.6283354219756</v>
      </c>
      <c r="BN223" s="24">
        <v>1650.9942988441426</v>
      </c>
      <c r="BO223" s="24">
        <v>1631.3157041861632</v>
      </c>
      <c r="BP223" s="24">
        <v>1611.1471735864218</v>
      </c>
      <c r="BQ223" s="24">
        <v>1587.4764571737703</v>
      </c>
      <c r="BR223" s="24">
        <v>1564.1663099809805</v>
      </c>
      <c r="BS223" s="24">
        <v>1541.1287304700868</v>
      </c>
      <c r="BT223" s="24">
        <v>1519.7474352944262</v>
      </c>
      <c r="BU223" s="24">
        <v>1499.6012269248697</v>
      </c>
    </row>
    <row r="224" spans="1:73" s="112" customFormat="1" x14ac:dyDescent="0.4">
      <c r="A224" s="38"/>
      <c r="B224" s="39"/>
      <c r="C224" s="48"/>
      <c r="D224" s="127"/>
      <c r="E224" s="126"/>
      <c r="F224" s="127"/>
      <c r="G224" s="128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</row>
    <row r="225" spans="1:88" s="112" customFormat="1" x14ac:dyDescent="0.4">
      <c r="A225" s="38"/>
      <c r="B225" s="39"/>
      <c r="C225" s="48"/>
      <c r="D225" s="127"/>
      <c r="E225" s="126"/>
      <c r="F225" s="127"/>
      <c r="G225" s="128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</row>
    <row r="226" spans="1:88" s="112" customFormat="1" x14ac:dyDescent="0.4">
      <c r="A226" s="38"/>
      <c r="B226" s="39"/>
      <c r="C226" s="48"/>
      <c r="D226" s="127"/>
      <c r="E226" s="126"/>
      <c r="F226" s="127"/>
      <c r="G226" s="128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</row>
    <row r="227" spans="1:88" s="131" customFormat="1" ht="15.6" thickBot="1" x14ac:dyDescent="0.4">
      <c r="D227" s="212"/>
    </row>
    <row r="228" spans="1:88" s="112" customFormat="1" ht="17.399999999999999" thickTop="1" x14ac:dyDescent="0.4">
      <c r="A228" s="38"/>
      <c r="B228" s="39"/>
      <c r="C228" s="48"/>
      <c r="D228" s="127"/>
      <c r="E228" s="126"/>
      <c r="F228" s="127"/>
      <c r="G228" s="128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40"/>
      <c r="BR228" s="40"/>
      <c r="BS228" s="40"/>
      <c r="BT228" s="40"/>
      <c r="BU228" s="40"/>
    </row>
    <row r="229" spans="1:88" s="632" customFormat="1" ht="42.6" customHeight="1" x14ac:dyDescent="0.75">
      <c r="A229" s="626"/>
      <c r="B229" s="627" t="s">
        <v>48</v>
      </c>
      <c r="C229" s="628"/>
      <c r="D229" s="610" t="s">
        <v>196</v>
      </c>
      <c r="E229" s="629"/>
      <c r="F229" s="629"/>
      <c r="G229" s="629"/>
      <c r="H229" s="629"/>
      <c r="I229" s="630"/>
      <c r="J229" s="630"/>
      <c r="K229" s="630"/>
      <c r="L229" s="630"/>
      <c r="M229" s="630"/>
      <c r="N229" s="630"/>
      <c r="O229" s="630"/>
      <c r="P229" s="630"/>
      <c r="Q229" s="630"/>
      <c r="R229" s="630"/>
      <c r="S229" s="630"/>
      <c r="T229" s="630"/>
      <c r="U229" s="630"/>
      <c r="V229" s="630"/>
      <c r="W229" s="630"/>
      <c r="X229" s="630"/>
      <c r="Y229" s="630"/>
      <c r="Z229" s="630"/>
      <c r="AA229" s="630"/>
      <c r="AB229" s="630"/>
      <c r="AC229" s="631"/>
      <c r="AD229" s="631"/>
      <c r="AE229" s="631"/>
      <c r="AF229" s="631"/>
      <c r="AG229" s="631"/>
      <c r="AH229" s="631"/>
      <c r="AI229" s="631"/>
      <c r="AJ229" s="631"/>
      <c r="AK229" s="631"/>
      <c r="AL229" s="631"/>
      <c r="AM229" s="631"/>
      <c r="AN229" s="631"/>
      <c r="AO229" s="631"/>
      <c r="AP229" s="631"/>
      <c r="AQ229" s="631"/>
      <c r="AR229" s="631"/>
      <c r="AS229" s="631"/>
      <c r="AT229" s="631"/>
      <c r="AU229" s="631"/>
      <c r="AV229" s="631"/>
      <c r="AW229" s="631"/>
      <c r="AX229" s="631"/>
      <c r="AY229" s="631"/>
      <c r="AZ229" s="631"/>
      <c r="BA229" s="631"/>
      <c r="BB229" s="631"/>
      <c r="BC229" s="631"/>
      <c r="BD229" s="631"/>
      <c r="BE229" s="631"/>
      <c r="BF229" s="631"/>
      <c r="BG229" s="631"/>
      <c r="BH229" s="631"/>
      <c r="BI229" s="631"/>
      <c r="BJ229" s="631"/>
      <c r="BK229" s="631"/>
      <c r="BL229" s="631"/>
      <c r="BM229" s="631"/>
      <c r="BN229" s="631"/>
      <c r="BO229" s="631"/>
      <c r="BP229" s="631"/>
      <c r="BQ229" s="631"/>
      <c r="BR229" s="631"/>
      <c r="BS229" s="631"/>
      <c r="BT229" s="631"/>
      <c r="BU229" s="631"/>
    </row>
    <row r="230" spans="1:88" s="638" customFormat="1" ht="37.200000000000003" customHeight="1" x14ac:dyDescent="0.4">
      <c r="A230" s="633"/>
      <c r="B230" s="634"/>
      <c r="C230" s="635"/>
      <c r="D230" s="636"/>
      <c r="E230" s="617"/>
      <c r="F230" s="617"/>
      <c r="G230" s="617"/>
      <c r="H230" s="620"/>
      <c r="I230" s="637"/>
      <c r="J230" s="620"/>
      <c r="K230" s="637"/>
      <c r="L230" s="620"/>
      <c r="M230" s="637"/>
      <c r="N230" s="620"/>
      <c r="O230" s="637"/>
      <c r="P230" s="620"/>
      <c r="Q230" s="637"/>
      <c r="R230" s="620"/>
      <c r="S230" s="637"/>
      <c r="T230" s="620"/>
      <c r="U230" s="637"/>
      <c r="V230" s="620"/>
      <c r="W230" s="637"/>
      <c r="X230" s="620"/>
      <c r="Y230" s="620"/>
      <c r="Z230" s="620"/>
      <c r="AA230" s="620"/>
      <c r="AB230" s="620"/>
      <c r="AC230" s="620"/>
      <c r="AD230" s="620"/>
      <c r="AE230" s="620"/>
      <c r="AF230" s="620"/>
      <c r="AG230" s="620"/>
      <c r="AH230" s="620"/>
      <c r="AI230" s="620"/>
      <c r="AJ230" s="620"/>
      <c r="AK230" s="620"/>
      <c r="AL230" s="620"/>
      <c r="AM230" s="620"/>
      <c r="AN230" s="620"/>
      <c r="AO230" s="620"/>
      <c r="AP230" s="620"/>
      <c r="AQ230" s="620"/>
      <c r="AR230" s="620"/>
      <c r="AS230" s="620"/>
      <c r="AT230" s="620"/>
      <c r="AU230" s="620"/>
      <c r="AV230" s="620"/>
      <c r="AW230" s="620"/>
      <c r="AX230" s="620"/>
      <c r="AY230" s="620"/>
      <c r="AZ230" s="620"/>
      <c r="BA230" s="620"/>
      <c r="BB230" s="620"/>
      <c r="BC230" s="620"/>
      <c r="BD230" s="620"/>
      <c r="BE230" s="620"/>
      <c r="BF230" s="620"/>
      <c r="BG230" s="620"/>
      <c r="BH230" s="620"/>
      <c r="BI230" s="620"/>
      <c r="BJ230" s="620"/>
      <c r="BK230" s="620"/>
      <c r="BL230" s="620"/>
      <c r="BM230" s="620"/>
      <c r="BN230" s="620"/>
      <c r="BO230" s="620"/>
      <c r="BP230" s="620"/>
      <c r="BQ230" s="620"/>
      <c r="BR230" s="620"/>
      <c r="BS230" s="620"/>
      <c r="BT230" s="620"/>
      <c r="BU230" s="620"/>
      <c r="BV230" s="616"/>
      <c r="BW230" s="616"/>
      <c r="BX230" s="616"/>
      <c r="BY230" s="616"/>
      <c r="BZ230" s="616"/>
      <c r="CA230" s="616"/>
      <c r="CB230" s="616"/>
      <c r="CC230" s="616"/>
      <c r="CD230" s="616"/>
      <c r="CE230" s="616"/>
      <c r="CF230" s="616"/>
      <c r="CG230" s="616"/>
      <c r="CH230" s="616"/>
      <c r="CI230" s="616"/>
      <c r="CJ230" s="616"/>
    </row>
    <row r="231" spans="1:88" s="112" customFormat="1" x14ac:dyDescent="0.4">
      <c r="A231" s="132"/>
      <c r="B231" s="133"/>
      <c r="C231" s="5"/>
      <c r="D231" s="699" t="str">
        <f>$D$4</f>
        <v>Söguleg losun</v>
      </c>
      <c r="E231" s="6" t="s">
        <v>398</v>
      </c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5"/>
      <c r="AQ231" s="135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J231" s="136"/>
    </row>
    <row r="232" spans="1:88" s="112" customFormat="1" ht="21.6" customHeight="1" x14ac:dyDescent="0.4">
      <c r="A232" s="114" t="s">
        <v>90</v>
      </c>
      <c r="B232" s="114" t="s">
        <v>358</v>
      </c>
      <c r="C232" s="5" t="s">
        <v>48</v>
      </c>
      <c r="D232" s="138" t="s">
        <v>130</v>
      </c>
      <c r="E232" s="138" t="s">
        <v>260</v>
      </c>
      <c r="F232" s="137"/>
      <c r="G232" s="16" t="str">
        <f t="shared" ref="G232:G237" si="53">$G$5</f>
        <v>Þús. tonn CO₂-íg. | kt CO₂e</v>
      </c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5">
        <v>852.8829310927872</v>
      </c>
      <c r="X232" s="15">
        <v>1273.7572023640969</v>
      </c>
      <c r="Y232" s="15">
        <v>1414.5983388630543</v>
      </c>
      <c r="Z232" s="15">
        <v>1931.1151277677466</v>
      </c>
      <c r="AA232" s="15">
        <v>1764.1449942061063</v>
      </c>
      <c r="AB232" s="15">
        <v>1783.4334517036384</v>
      </c>
      <c r="AC232" s="15">
        <v>1680.8912393315998</v>
      </c>
      <c r="AD232" s="15">
        <v>1754.8609910767771</v>
      </c>
      <c r="AE232" s="15">
        <v>1771.0008677179781</v>
      </c>
      <c r="AF232" s="15">
        <v>1744.9715736278213</v>
      </c>
      <c r="AG232" s="15">
        <v>1801.5981907139037</v>
      </c>
      <c r="AH232" s="15">
        <v>1775.3248267509305</v>
      </c>
      <c r="AI232" s="15">
        <v>1851.9514838312632</v>
      </c>
      <c r="AJ232" s="15">
        <v>1846.9543490538742</v>
      </c>
      <c r="AK232" s="15">
        <v>1788.0088506002819</v>
      </c>
      <c r="AL232" s="15">
        <v>1752.0332140392577</v>
      </c>
      <c r="AM232" s="15">
        <v>1828.02</v>
      </c>
      <c r="AN232" s="15">
        <v>1875.076</v>
      </c>
      <c r="AO232" s="15">
        <v>1812.53</v>
      </c>
      <c r="AP232" s="15">
        <v>1889.154</v>
      </c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</row>
    <row r="233" spans="1:88" s="112" customFormat="1" ht="21.6" customHeight="1" x14ac:dyDescent="0.4">
      <c r="A233" s="108" t="s">
        <v>91</v>
      </c>
      <c r="B233" s="114" t="s">
        <v>359</v>
      </c>
      <c r="C233" s="5" t="s">
        <v>48</v>
      </c>
      <c r="D233" s="138" t="s">
        <v>247</v>
      </c>
      <c r="E233" s="138" t="s">
        <v>123</v>
      </c>
      <c r="F233" s="15" t="s">
        <v>134</v>
      </c>
      <c r="G233" s="16" t="str">
        <f t="shared" si="53"/>
        <v>Þús. tonn CO₂-íg. | kt CO₂e</v>
      </c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5">
        <v>26.007138153333333</v>
      </c>
      <c r="X233" s="15">
        <v>28.138312839999998</v>
      </c>
      <c r="Y233" s="15">
        <v>22.051151063333332</v>
      </c>
      <c r="Z233" s="15">
        <v>26.235003593333332</v>
      </c>
      <c r="AA233" s="15">
        <v>21.786911006666664</v>
      </c>
      <c r="AB233" s="15">
        <v>21.137412779999998</v>
      </c>
      <c r="AC233" s="15">
        <v>20.279152960000001</v>
      </c>
      <c r="AD233" s="15">
        <v>20.86468747</v>
      </c>
      <c r="AE233" s="15">
        <v>19.615938723333336</v>
      </c>
      <c r="AF233" s="15">
        <v>19.549418533333334</v>
      </c>
      <c r="AG233" s="15">
        <v>20.441658636666666</v>
      </c>
      <c r="AH233" s="15">
        <v>22.574404196666666</v>
      </c>
      <c r="AI233" s="15">
        <v>22.95845761</v>
      </c>
      <c r="AJ233" s="15">
        <v>24.583191306666667</v>
      </c>
      <c r="AK233" s="15">
        <v>27.755915457878668</v>
      </c>
      <c r="AL233" s="15">
        <v>13.1457037426</v>
      </c>
      <c r="AM233" s="15">
        <v>20.735413380000001</v>
      </c>
      <c r="AN233" s="15">
        <v>24.085325513333334</v>
      </c>
      <c r="AO233" s="15">
        <v>22.340912733333333</v>
      </c>
      <c r="AP233" s="15">
        <v>20.344146606666669</v>
      </c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</row>
    <row r="234" spans="1:88" s="112" customFormat="1" ht="21.6" customHeight="1" x14ac:dyDescent="0.4">
      <c r="A234" s="108" t="s">
        <v>111</v>
      </c>
      <c r="B234" s="114" t="s">
        <v>356</v>
      </c>
      <c r="C234" s="5" t="s">
        <v>48</v>
      </c>
      <c r="D234" s="138" t="s">
        <v>131</v>
      </c>
      <c r="E234" s="15" t="s">
        <v>132</v>
      </c>
      <c r="F234" s="137"/>
      <c r="G234" s="16" t="str">
        <f t="shared" si="53"/>
        <v>Þús. tonn CO₂-íg. | kt CO₂e</v>
      </c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5">
        <v>3215.3194987491561</v>
      </c>
      <c r="X234" s="15">
        <v>3349.4916066086043</v>
      </c>
      <c r="Y234" s="15">
        <v>3520.3184559504757</v>
      </c>
      <c r="Z234" s="15">
        <v>3381.1708078111665</v>
      </c>
      <c r="AA234" s="15">
        <v>3249.582633148385</v>
      </c>
      <c r="AB234" s="15">
        <v>3136.0234220364309</v>
      </c>
      <c r="AC234" s="15">
        <v>3027.530436992919</v>
      </c>
      <c r="AD234" s="15">
        <v>2946.0997525225566</v>
      </c>
      <c r="AE234" s="15">
        <v>2936.1787410097058</v>
      </c>
      <c r="AF234" s="15">
        <v>2984.780652234278</v>
      </c>
      <c r="AG234" s="15">
        <v>2997.5166061632103</v>
      </c>
      <c r="AH234" s="15">
        <v>2981.1433650467634</v>
      </c>
      <c r="AI234" s="15">
        <v>2985.1096624077809</v>
      </c>
      <c r="AJ234" s="15">
        <v>3052.1748188360798</v>
      </c>
      <c r="AK234" s="15">
        <v>2965.501679543112</v>
      </c>
      <c r="AL234" s="15">
        <v>2814.4135953126129</v>
      </c>
      <c r="AM234" s="15">
        <v>2868.0139907849666</v>
      </c>
      <c r="AN234" s="15">
        <v>2876.6199736044764</v>
      </c>
      <c r="AO234" s="15">
        <v>2808.7190969481017</v>
      </c>
      <c r="AP234" s="15">
        <v>2863.861664527436</v>
      </c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</row>
    <row r="235" spans="1:88" s="112" customFormat="1" ht="21.6" customHeight="1" x14ac:dyDescent="0.4">
      <c r="A235" s="114" t="s">
        <v>45</v>
      </c>
      <c r="B235" s="114" t="s">
        <v>360</v>
      </c>
      <c r="C235" s="5" t="s">
        <v>48</v>
      </c>
      <c r="D235" s="15" t="s">
        <v>236</v>
      </c>
      <c r="E235" s="15" t="s">
        <v>133</v>
      </c>
      <c r="F235" s="137"/>
      <c r="G235" s="16" t="str">
        <f t="shared" si="53"/>
        <v>Þús. tonn CO₂-íg. | kt CO₂e</v>
      </c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5">
        <v>6268.1542563970897</v>
      </c>
      <c r="X235" s="15">
        <v>6320.9528495880331</v>
      </c>
      <c r="Y235" s="15">
        <v>6225.7529178967579</v>
      </c>
      <c r="Z235" s="15">
        <v>6269.5802663479571</v>
      </c>
      <c r="AA235" s="15">
        <v>6325.4371503419688</v>
      </c>
      <c r="AB235" s="15">
        <v>6300.1598879350922</v>
      </c>
      <c r="AC235" s="15">
        <v>6279.2934431077456</v>
      </c>
      <c r="AD235" s="15">
        <v>6284.1647851584466</v>
      </c>
      <c r="AE235" s="15">
        <v>6285.1853911126827</v>
      </c>
      <c r="AF235" s="15">
        <v>6278.9462416991719</v>
      </c>
      <c r="AG235" s="15">
        <v>6270.442338847115</v>
      </c>
      <c r="AH235" s="15">
        <v>6253.2366346408298</v>
      </c>
      <c r="AI235" s="15">
        <v>6226.2044900319424</v>
      </c>
      <c r="AJ235" s="15">
        <v>6214.4468411285316</v>
      </c>
      <c r="AK235" s="15">
        <v>6228.6191507748572</v>
      </c>
      <c r="AL235" s="15">
        <v>6249.9591871884904</v>
      </c>
      <c r="AM235" s="15">
        <v>6257.2475682356353</v>
      </c>
      <c r="AN235" s="15">
        <v>6243.413997282224</v>
      </c>
      <c r="AO235" s="15">
        <v>6247.0049298278182</v>
      </c>
      <c r="AP235" s="15">
        <v>6268.7228611357514</v>
      </c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</row>
    <row r="236" spans="1:88" s="112" customFormat="1" ht="21.6" customHeight="1" x14ac:dyDescent="0.4">
      <c r="A236" s="4" t="s">
        <v>47</v>
      </c>
      <c r="B236" s="114" t="s">
        <v>361</v>
      </c>
      <c r="C236" s="5" t="s">
        <v>48</v>
      </c>
      <c r="D236" s="22" t="s">
        <v>212</v>
      </c>
      <c r="E236" s="22"/>
      <c r="F236" s="140"/>
      <c r="G236" s="23" t="str">
        <f t="shared" si="53"/>
        <v>Þús. tonn CO₂-íg. | kt CO₂e</v>
      </c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22">
        <f>SUM(W232:W235)</f>
        <v>10362.363824392367</v>
      </c>
      <c r="X236" s="22">
        <f t="shared" ref="X236:AO236" si="54">SUM(X232:X235)</f>
        <v>10972.339971400736</v>
      </c>
      <c r="Y236" s="22">
        <f t="shared" si="54"/>
        <v>11182.720863773622</v>
      </c>
      <c r="Z236" s="22">
        <f t="shared" si="54"/>
        <v>11608.101205520205</v>
      </c>
      <c r="AA236" s="22">
        <f t="shared" si="54"/>
        <v>11360.951688703128</v>
      </c>
      <c r="AB236" s="22">
        <f t="shared" si="54"/>
        <v>11240.754174455162</v>
      </c>
      <c r="AC236" s="22">
        <f t="shared" si="54"/>
        <v>11007.994272392265</v>
      </c>
      <c r="AD236" s="22">
        <f t="shared" si="54"/>
        <v>11005.990216227779</v>
      </c>
      <c r="AE236" s="22">
        <f t="shared" si="54"/>
        <v>11011.9809385637</v>
      </c>
      <c r="AF236" s="22">
        <f t="shared" si="54"/>
        <v>11028.247886094605</v>
      </c>
      <c r="AG236" s="22">
        <f t="shared" si="54"/>
        <v>11089.998794360896</v>
      </c>
      <c r="AH236" s="22">
        <f t="shared" si="54"/>
        <v>11032.279230635191</v>
      </c>
      <c r="AI236" s="22">
        <f t="shared" si="54"/>
        <v>11086.224093880986</v>
      </c>
      <c r="AJ236" s="22">
        <f t="shared" si="54"/>
        <v>11138.159200325154</v>
      </c>
      <c r="AK236" s="22">
        <f t="shared" si="54"/>
        <v>11009.885596376131</v>
      </c>
      <c r="AL236" s="22">
        <f t="shared" si="54"/>
        <v>10829.551700282962</v>
      </c>
      <c r="AM236" s="22">
        <f t="shared" si="54"/>
        <v>10974.016972400601</v>
      </c>
      <c r="AN236" s="22">
        <f t="shared" si="54"/>
        <v>11019.195296400034</v>
      </c>
      <c r="AO236" s="22">
        <f t="shared" si="54"/>
        <v>10890.594939509254</v>
      </c>
      <c r="AP236" s="22">
        <f>SUM(AP232:AP235)</f>
        <v>11042.082672269855</v>
      </c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</row>
    <row r="237" spans="1:88" s="112" customFormat="1" ht="21.6" customHeight="1" x14ac:dyDescent="0.4">
      <c r="A237" s="108" t="s">
        <v>49</v>
      </c>
      <c r="B237" s="114" t="s">
        <v>366</v>
      </c>
      <c r="C237" s="5" t="s">
        <v>48</v>
      </c>
      <c r="D237" s="22" t="s">
        <v>213</v>
      </c>
      <c r="E237" s="22"/>
      <c r="F237" s="140"/>
      <c r="G237" s="23" t="str">
        <f t="shared" si="53"/>
        <v>Þús. tonn CO₂-íg. | kt CO₂e</v>
      </c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22">
        <v>4094.2095679952768</v>
      </c>
      <c r="X237" s="22">
        <v>4651.3871218127015</v>
      </c>
      <c r="Y237" s="22">
        <v>4956.9679458768633</v>
      </c>
      <c r="Z237" s="22">
        <v>5338.5209391722465</v>
      </c>
      <c r="AA237" s="22">
        <v>5035.514538361158</v>
      </c>
      <c r="AB237" s="22">
        <v>4940.5942865200695</v>
      </c>
      <c r="AC237" s="22">
        <v>4728.7008292845185</v>
      </c>
      <c r="AD237" s="22">
        <v>4721.8254310693337</v>
      </c>
      <c r="AE237" s="22">
        <v>4726.7955474510172</v>
      </c>
      <c r="AF237" s="22">
        <v>4749.301644395433</v>
      </c>
      <c r="AG237" s="22">
        <v>4819.5564555137807</v>
      </c>
      <c r="AH237" s="22">
        <v>4779.0425959943605</v>
      </c>
      <c r="AI237" s="22">
        <v>4860.019603849044</v>
      </c>
      <c r="AJ237" s="22">
        <v>4923.712359196621</v>
      </c>
      <c r="AK237" s="22">
        <v>4781.2664456012726</v>
      </c>
      <c r="AL237" s="22">
        <v>4579.5925130944706</v>
      </c>
      <c r="AM237" s="22">
        <v>4716.7694041649665</v>
      </c>
      <c r="AN237" s="22">
        <v>4775.7812991178098</v>
      </c>
      <c r="AO237" s="22">
        <v>4643.5900096814348</v>
      </c>
      <c r="AP237" s="22">
        <v>4773.3598111341025</v>
      </c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</row>
    <row r="238" spans="1:88" ht="18" customHeight="1" x14ac:dyDescent="0.4">
      <c r="A238" s="114"/>
      <c r="B238" s="109"/>
      <c r="C238" s="115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129"/>
      <c r="BW238" s="129"/>
      <c r="BX238" s="129"/>
      <c r="BY238" s="129"/>
      <c r="BZ238" s="129"/>
      <c r="CA238" s="129"/>
      <c r="CB238" s="129"/>
    </row>
    <row r="239" spans="1:88" s="112" customFormat="1" ht="37.200000000000003" customHeight="1" x14ac:dyDescent="0.4">
      <c r="A239" s="132"/>
      <c r="B239" s="133"/>
      <c r="C239" s="5"/>
      <c r="D239" s="1012" t="s">
        <v>445</v>
      </c>
      <c r="E239" s="1012" t="s">
        <v>446</v>
      </c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5"/>
      <c r="AQ239" s="135"/>
      <c r="AR239" s="136"/>
      <c r="AS239" s="136"/>
      <c r="AT239" s="136"/>
      <c r="AU239" s="136"/>
      <c r="AV239" s="134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</row>
    <row r="240" spans="1:88" s="112" customFormat="1" ht="21.6" customHeight="1" x14ac:dyDescent="0.4">
      <c r="A240" s="114" t="s">
        <v>90</v>
      </c>
      <c r="B240" s="114" t="s">
        <v>362</v>
      </c>
      <c r="C240" s="5" t="s">
        <v>48</v>
      </c>
      <c r="D240" s="138" t="s">
        <v>130</v>
      </c>
      <c r="E240" s="138" t="s">
        <v>260</v>
      </c>
      <c r="F240" s="137"/>
      <c r="G240" s="16" t="str">
        <f t="shared" ref="G240:G245" si="55">$G$5</f>
        <v>Þús. tonn CO₂-íg. | kt CO₂e</v>
      </c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352">
        <f t="shared" ref="AO240:AP245" si="56">AO232</f>
        <v>1812.53</v>
      </c>
      <c r="AP240" s="352">
        <f t="shared" si="56"/>
        <v>1889.154</v>
      </c>
      <c r="AQ240" s="15">
        <v>1808.7265918583689</v>
      </c>
      <c r="AR240" s="15">
        <v>1928.0982980092228</v>
      </c>
      <c r="AS240" s="15">
        <v>1927.4720383388697</v>
      </c>
      <c r="AT240" s="15">
        <v>1927.8089241984314</v>
      </c>
      <c r="AU240" s="15">
        <v>1927.2391980734856</v>
      </c>
      <c r="AV240" s="15">
        <v>1927.4966690724798</v>
      </c>
      <c r="AW240" s="15">
        <v>1927.5655156692992</v>
      </c>
      <c r="AX240" s="15">
        <v>1928.4989122192742</v>
      </c>
      <c r="AY240" s="15">
        <v>1927.6702422999997</v>
      </c>
      <c r="AZ240" s="15">
        <v>1927.7034015444303</v>
      </c>
      <c r="BA240" s="15">
        <v>1927.5527840690825</v>
      </c>
      <c r="BB240" s="15">
        <v>1932.5127789055146</v>
      </c>
      <c r="BC240" s="15">
        <v>1931.4629520687615</v>
      </c>
      <c r="BD240" s="15">
        <v>1931.2943693964892</v>
      </c>
      <c r="BE240" s="15">
        <v>1931.1183048355206</v>
      </c>
      <c r="BF240" s="15">
        <v>1931.8173712475771</v>
      </c>
      <c r="BG240" s="15">
        <v>1930.7459715395305</v>
      </c>
      <c r="BH240" s="15">
        <v>1930.5528846181212</v>
      </c>
      <c r="BI240" s="15">
        <v>1930.3494882150683</v>
      </c>
      <c r="BJ240" s="15">
        <v>1931.027082951626</v>
      </c>
      <c r="BK240" s="15">
        <v>1929.9142162075059</v>
      </c>
      <c r="BL240" s="15">
        <v>1929.6791959914328</v>
      </c>
      <c r="BM240" s="15">
        <v>1929.436383800318</v>
      </c>
      <c r="BN240" s="15">
        <v>1930.0681970085045</v>
      </c>
      <c r="BO240" s="15">
        <v>1928.9119320096579</v>
      </c>
      <c r="BP240" s="15">
        <v>1928.6330982941608</v>
      </c>
      <c r="BQ240" s="15">
        <v>1928.3400292866772</v>
      </c>
      <c r="BR240" s="15">
        <v>1928.9270848344925</v>
      </c>
      <c r="BS240" s="15">
        <v>1927.7226235701592</v>
      </c>
      <c r="BT240" s="15">
        <v>1927.3921181428357</v>
      </c>
      <c r="BU240" s="15">
        <v>1927.0498931857453</v>
      </c>
    </row>
    <row r="241" spans="1:80" s="112" customFormat="1" ht="21.6" customHeight="1" x14ac:dyDescent="0.4">
      <c r="A241" s="108" t="s">
        <v>91</v>
      </c>
      <c r="B241" s="114" t="s">
        <v>363</v>
      </c>
      <c r="C241" s="5" t="s">
        <v>48</v>
      </c>
      <c r="D241" s="138" t="s">
        <v>247</v>
      </c>
      <c r="E241" s="138" t="s">
        <v>123</v>
      </c>
      <c r="F241" s="15" t="s">
        <v>134</v>
      </c>
      <c r="G241" s="16" t="str">
        <f t="shared" si="55"/>
        <v>Þús. tonn CO₂-íg. | kt CO₂e</v>
      </c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352">
        <f t="shared" si="56"/>
        <v>22.340912733333333</v>
      </c>
      <c r="AP241" s="352">
        <f t="shared" si="56"/>
        <v>20.344146606666669</v>
      </c>
      <c r="AQ241" s="15">
        <v>24.788832825783107</v>
      </c>
      <c r="AR241" s="15">
        <v>24.99480198036547</v>
      </c>
      <c r="AS241" s="15">
        <v>24.820712115831906</v>
      </c>
      <c r="AT241" s="15">
        <v>24.587725144968317</v>
      </c>
      <c r="AU241" s="15">
        <v>24.287379791675022</v>
      </c>
      <c r="AV241" s="15">
        <v>23.905755349277957</v>
      </c>
      <c r="AW241" s="15">
        <v>23.879801607476672</v>
      </c>
      <c r="AX241" s="15">
        <v>23.731020864637031</v>
      </c>
      <c r="AY241" s="15">
        <v>23.41633074860485</v>
      </c>
      <c r="AZ241" s="15">
        <v>22.888163506489455</v>
      </c>
      <c r="BA241" s="15">
        <v>22.086990876987812</v>
      </c>
      <c r="BB241" s="15">
        <v>20.954118580264652</v>
      </c>
      <c r="BC241" s="15">
        <v>19.443980493183819</v>
      </c>
      <c r="BD241" s="15">
        <v>17.553811251551185</v>
      </c>
      <c r="BE241" s="15">
        <v>15.344575625913437</v>
      </c>
      <c r="BF241" s="15">
        <v>12.938977001804195</v>
      </c>
      <c r="BG241" s="15">
        <v>10.520813282121209</v>
      </c>
      <c r="BH241" s="15">
        <v>8.255198636110519</v>
      </c>
      <c r="BI241" s="177">
        <v>6.2714383055841729</v>
      </c>
      <c r="BJ241" s="177">
        <v>4.6359687281188879</v>
      </c>
      <c r="BK241" s="177">
        <v>3.352256632534345</v>
      </c>
      <c r="BL241" s="177">
        <v>2.3832668134958594</v>
      </c>
      <c r="BM241" s="177">
        <v>1.6727793080809625</v>
      </c>
      <c r="BN241" s="177">
        <v>1.1624125789295969</v>
      </c>
      <c r="BO241" s="177">
        <v>0.80237032020395838</v>
      </c>
      <c r="BP241" s="351">
        <v>0.55114040409451115</v>
      </c>
      <c r="BQ241" s="351">
        <v>0.37750390688915691</v>
      </c>
      <c r="BR241" s="351">
        <v>0.25788834895794782</v>
      </c>
      <c r="BS241" s="351">
        <v>0.17584974712126192</v>
      </c>
      <c r="BT241" s="351">
        <v>0.11974884808860582</v>
      </c>
      <c r="BU241" s="351">
        <v>8.1432143524250433E-2</v>
      </c>
    </row>
    <row r="242" spans="1:80" s="112" customFormat="1" ht="21.6" customHeight="1" x14ac:dyDescent="0.4">
      <c r="A242" s="108" t="s">
        <v>111</v>
      </c>
      <c r="B242" s="114" t="s">
        <v>354</v>
      </c>
      <c r="C242" s="5" t="s">
        <v>48</v>
      </c>
      <c r="D242" s="138" t="s">
        <v>131</v>
      </c>
      <c r="E242" s="15" t="s">
        <v>132</v>
      </c>
      <c r="F242" s="137"/>
      <c r="G242" s="16" t="str">
        <f t="shared" si="55"/>
        <v>Þús. tonn CO₂-íg. | kt CO₂e</v>
      </c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352">
        <f t="shared" si="56"/>
        <v>2808.7190969481017</v>
      </c>
      <c r="AP242" s="352">
        <f t="shared" si="56"/>
        <v>2863.861664527436</v>
      </c>
      <c r="AQ242" s="15">
        <v>2685.8764106674525</v>
      </c>
      <c r="AR242" s="15">
        <v>2606.1303508637966</v>
      </c>
      <c r="AS242" s="15">
        <v>2571.1252032106631</v>
      </c>
      <c r="AT242" s="15">
        <v>2490.9518672539471</v>
      </c>
      <c r="AU242" s="15">
        <v>2450.3351587920938</v>
      </c>
      <c r="AV242" s="15">
        <v>2403.3015177223715</v>
      </c>
      <c r="AW242" s="15">
        <v>2338.7023404507604</v>
      </c>
      <c r="AX242" s="15">
        <v>2294.623420111966</v>
      </c>
      <c r="AY242" s="15">
        <v>2254.2208996069057</v>
      </c>
      <c r="AZ242" s="15">
        <v>2190.8336865025094</v>
      </c>
      <c r="BA242" s="15">
        <v>2104.7041000652357</v>
      </c>
      <c r="BB242" s="15">
        <v>2025.4029714482367</v>
      </c>
      <c r="BC242" s="15">
        <v>1943.7430317568405</v>
      </c>
      <c r="BD242" s="15">
        <v>1865.0804533292639</v>
      </c>
      <c r="BE242" s="15">
        <v>1785.3292962198825</v>
      </c>
      <c r="BF242" s="15">
        <v>1703.4055632130492</v>
      </c>
      <c r="BG242" s="15">
        <v>1622.6734391109169</v>
      </c>
      <c r="BH242" s="15">
        <v>1552.4645362400831</v>
      </c>
      <c r="BI242" s="15">
        <v>1486.1809475949988</v>
      </c>
      <c r="BJ242" s="15">
        <v>1430.9515131265148</v>
      </c>
      <c r="BK242" s="15">
        <v>1373.9871534411329</v>
      </c>
      <c r="BL242" s="15">
        <v>1321.6920262867884</v>
      </c>
      <c r="BM242" s="15">
        <v>1271.1458823801638</v>
      </c>
      <c r="BN242" s="15">
        <v>1223.6300656413737</v>
      </c>
      <c r="BO242" s="15">
        <v>1178.8111746108671</v>
      </c>
      <c r="BP242" s="15">
        <v>1140.6042718662652</v>
      </c>
      <c r="BQ242" s="15">
        <v>1107.5870831008979</v>
      </c>
      <c r="BR242" s="15">
        <v>1075.7612652468388</v>
      </c>
      <c r="BS242" s="15">
        <v>1045.9527979576098</v>
      </c>
      <c r="BT242" s="15">
        <v>1019.1967381554091</v>
      </c>
      <c r="BU242" s="15">
        <v>993.0859778874883</v>
      </c>
    </row>
    <row r="243" spans="1:80" s="112" customFormat="1" ht="21.6" customHeight="1" x14ac:dyDescent="0.4">
      <c r="A243" s="114" t="s">
        <v>45</v>
      </c>
      <c r="B243" s="114" t="s">
        <v>364</v>
      </c>
      <c r="C243" s="5" t="s">
        <v>48</v>
      </c>
      <c r="D243" s="15" t="s">
        <v>236</v>
      </c>
      <c r="E243" s="15" t="s">
        <v>133</v>
      </c>
      <c r="F243" s="137"/>
      <c r="G243" s="16" t="str">
        <f t="shared" si="55"/>
        <v>Þús. tonn CO₂-íg. | kt CO₂e</v>
      </c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352">
        <f t="shared" si="56"/>
        <v>6247.0049298278182</v>
      </c>
      <c r="AP243" s="352">
        <f t="shared" si="56"/>
        <v>6268.7228611357514</v>
      </c>
      <c r="AQ243" s="43">
        <v>6249.6863533814349</v>
      </c>
      <c r="AR243" s="43">
        <v>6227.7967635500681</v>
      </c>
      <c r="AS243" s="43">
        <v>6204.2400107653002</v>
      </c>
      <c r="AT243" s="43">
        <v>6179.840341275858</v>
      </c>
      <c r="AU243" s="43">
        <v>6150.0176220246922</v>
      </c>
      <c r="AV243" s="43">
        <v>6125.7077776084025</v>
      </c>
      <c r="AW243" s="43">
        <v>6095.1775721742051</v>
      </c>
      <c r="AX243" s="43">
        <v>6064.7701417670996</v>
      </c>
      <c r="AY243" s="43">
        <v>6032.2800684581853</v>
      </c>
      <c r="AZ243" s="43">
        <v>6004.2116429620701</v>
      </c>
      <c r="BA243" s="43">
        <v>5982.5436299669618</v>
      </c>
      <c r="BB243" s="43">
        <v>5954.8134007777662</v>
      </c>
      <c r="BC243" s="43">
        <v>5957.4270600109676</v>
      </c>
      <c r="BD243" s="43">
        <v>5926.1323214150907</v>
      </c>
      <c r="BE243" s="43">
        <v>5889.1076859943687</v>
      </c>
      <c r="BF243" s="43">
        <v>5853.6971738235552</v>
      </c>
      <c r="BG243" s="43">
        <v>5804.252582649332</v>
      </c>
      <c r="BH243" s="43">
        <v>5752.7101261713688</v>
      </c>
      <c r="BI243" s="43">
        <v>5694.3938085776917</v>
      </c>
      <c r="BJ243" s="43">
        <v>5629.5255279295861</v>
      </c>
      <c r="BK243" s="43">
        <v>5569.1141567205041</v>
      </c>
      <c r="BL243" s="43">
        <v>5497.1122445964811</v>
      </c>
      <c r="BM243" s="43">
        <v>5421.9758711621362</v>
      </c>
      <c r="BN243" s="43">
        <v>5349.4493832856297</v>
      </c>
      <c r="BO243" s="43">
        <v>5268.6243560281873</v>
      </c>
      <c r="BP243" s="43">
        <v>5184.2505517841055</v>
      </c>
      <c r="BQ243" s="43">
        <v>5091.4451758713849</v>
      </c>
      <c r="BR243" s="43">
        <v>5008.5249900369499</v>
      </c>
      <c r="BS243" s="43">
        <v>4917.9161011660144</v>
      </c>
      <c r="BT243" s="43">
        <v>4828.4994498210281</v>
      </c>
      <c r="BU243" s="43">
        <v>4742.5596922296954</v>
      </c>
      <c r="BV243" s="387"/>
    </row>
    <row r="244" spans="1:80" s="112" customFormat="1" ht="21.6" customHeight="1" x14ac:dyDescent="0.4">
      <c r="A244" s="4" t="s">
        <v>47</v>
      </c>
      <c r="B244" s="114" t="s">
        <v>365</v>
      </c>
      <c r="C244" s="5" t="s">
        <v>48</v>
      </c>
      <c r="D244" s="22" t="s">
        <v>212</v>
      </c>
      <c r="E244" s="22"/>
      <c r="F244" s="140"/>
      <c r="G244" s="23" t="str">
        <f t="shared" si="55"/>
        <v>Þús. tonn CO₂-íg. | kt CO₂e</v>
      </c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352">
        <f t="shared" si="56"/>
        <v>10890.594939509254</v>
      </c>
      <c r="AP244" s="352">
        <f t="shared" si="56"/>
        <v>11042.082672269855</v>
      </c>
      <c r="AQ244" s="22">
        <v>10769.078188733039</v>
      </c>
      <c r="AR244" s="22">
        <v>10787.020214403454</v>
      </c>
      <c r="AS244" s="22">
        <v>10727.657964430666</v>
      </c>
      <c r="AT244" s="22">
        <v>10623.188857873205</v>
      </c>
      <c r="AU244" s="22">
        <v>10551.879358681947</v>
      </c>
      <c r="AV244" s="22">
        <v>10480.411719752532</v>
      </c>
      <c r="AW244" s="22">
        <v>10385.325229901742</v>
      </c>
      <c r="AX244" s="22">
        <v>10311.623494962978</v>
      </c>
      <c r="AY244" s="22">
        <v>10237.587541113695</v>
      </c>
      <c r="AZ244" s="22">
        <v>10145.636894515499</v>
      </c>
      <c r="BA244" s="22">
        <v>10036.887504978267</v>
      </c>
      <c r="BB244" s="22">
        <v>9933.6832697117807</v>
      </c>
      <c r="BC244" s="22">
        <v>9852.0770243297538</v>
      </c>
      <c r="BD244" s="22">
        <v>9740.0609553923969</v>
      </c>
      <c r="BE244" s="22">
        <v>9620.8998626756857</v>
      </c>
      <c r="BF244" s="22">
        <v>9501.8590852859852</v>
      </c>
      <c r="BG244" s="22">
        <v>9368.1928065818993</v>
      </c>
      <c r="BH244" s="22">
        <v>9243.982745665684</v>
      </c>
      <c r="BI244" s="22">
        <v>9117.1956826933438</v>
      </c>
      <c r="BJ244" s="22">
        <v>8996.1400927358445</v>
      </c>
      <c r="BK244" s="22">
        <v>8876.3677830016768</v>
      </c>
      <c r="BL244" s="22">
        <v>8750.8667336881972</v>
      </c>
      <c r="BM244" s="22">
        <v>8624.2309166506984</v>
      </c>
      <c r="BN244" s="22">
        <v>8504.3100585144384</v>
      </c>
      <c r="BO244" s="22">
        <v>8377.1498329689166</v>
      </c>
      <c r="BP244" s="22">
        <v>8254.0390623486255</v>
      </c>
      <c r="BQ244" s="22">
        <v>8127.7497921658496</v>
      </c>
      <c r="BR244" s="22">
        <v>8013.4712284672387</v>
      </c>
      <c r="BS244" s="22">
        <v>7891.7673724409042</v>
      </c>
      <c r="BT244" s="22">
        <v>7775.208054967361</v>
      </c>
      <c r="BU244" s="22">
        <v>7662.7769954464529</v>
      </c>
    </row>
    <row r="245" spans="1:80" s="112" customFormat="1" ht="21.6" customHeight="1" x14ac:dyDescent="0.4">
      <c r="A245" s="108" t="s">
        <v>49</v>
      </c>
      <c r="B245" s="114" t="s">
        <v>367</v>
      </c>
      <c r="C245" s="5" t="s">
        <v>48</v>
      </c>
      <c r="D245" s="22" t="s">
        <v>213</v>
      </c>
      <c r="E245" s="22"/>
      <c r="F245" s="140"/>
      <c r="G245" s="23" t="str">
        <f t="shared" si="55"/>
        <v>Þús. tonn CO₂-íg. | kt CO₂e</v>
      </c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352">
        <f t="shared" si="56"/>
        <v>4643.5900096814348</v>
      </c>
      <c r="AP245" s="352">
        <f t="shared" si="56"/>
        <v>4773.3598111341025</v>
      </c>
      <c r="AQ245" s="22">
        <v>4519.3918353516046</v>
      </c>
      <c r="AR245" s="22">
        <v>4559.2234508533847</v>
      </c>
      <c r="AS245" s="22">
        <v>4523.4179536653646</v>
      </c>
      <c r="AT245" s="22">
        <v>4443.348516597347</v>
      </c>
      <c r="AU245" s="22">
        <v>4401.8617366572544</v>
      </c>
      <c r="AV245" s="22">
        <v>4354.7039421441295</v>
      </c>
      <c r="AW245" s="22">
        <v>4290.1476577275362</v>
      </c>
      <c r="AX245" s="22">
        <v>4246.8533531958774</v>
      </c>
      <c r="AY245" s="22">
        <v>4205.3074726555105</v>
      </c>
      <c r="AZ245" s="22">
        <v>4141.425251553429</v>
      </c>
      <c r="BA245" s="22">
        <v>4054.343875011306</v>
      </c>
      <c r="BB245" s="22">
        <v>3978.8698689340158</v>
      </c>
      <c r="BC245" s="22">
        <v>3894.6499643187858</v>
      </c>
      <c r="BD245" s="22">
        <v>3813.9286339773043</v>
      </c>
      <c r="BE245" s="22">
        <v>3731.7921766813165</v>
      </c>
      <c r="BF245" s="22">
        <v>3648.1619114624305</v>
      </c>
      <c r="BG245" s="22">
        <v>3563.9402239325686</v>
      </c>
      <c r="BH245" s="22">
        <v>3491.2726194943148</v>
      </c>
      <c r="BI245" s="22">
        <v>3422.8018741156511</v>
      </c>
      <c r="BJ245" s="22">
        <v>3366.6145648062598</v>
      </c>
      <c r="BK245" s="22">
        <v>3307.2536262811732</v>
      </c>
      <c r="BL245" s="22">
        <v>3253.754489091717</v>
      </c>
      <c r="BM245" s="22">
        <v>3202.2550454885627</v>
      </c>
      <c r="BN245" s="22">
        <v>3154.8606752288078</v>
      </c>
      <c r="BO245" s="22">
        <v>3108.5254769407288</v>
      </c>
      <c r="BP245" s="22">
        <v>3069.7885105645205</v>
      </c>
      <c r="BQ245" s="22">
        <v>3036.3046162944643</v>
      </c>
      <c r="BR245" s="22">
        <v>3004.9462384302892</v>
      </c>
      <c r="BS245" s="22">
        <v>2973.8512712748902</v>
      </c>
      <c r="BT245" s="22">
        <v>2946.7086051463334</v>
      </c>
      <c r="BU245" s="22">
        <v>2920.217303216758</v>
      </c>
    </row>
    <row r="246" spans="1:80" ht="18" customHeight="1" x14ac:dyDescent="0.4">
      <c r="A246" s="114"/>
      <c r="B246" s="109"/>
      <c r="C246" s="115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129"/>
      <c r="BW246" s="129"/>
      <c r="BX246" s="129"/>
      <c r="BY246" s="129"/>
      <c r="BZ246" s="129"/>
      <c r="CA246" s="129"/>
      <c r="CB246" s="129"/>
    </row>
    <row r="247" spans="1:80" s="648" customFormat="1" ht="42.6" customHeight="1" x14ac:dyDescent="0.75">
      <c r="A247" s="639"/>
      <c r="B247" s="640"/>
      <c r="C247" s="641"/>
      <c r="D247" s="642" t="s">
        <v>197</v>
      </c>
      <c r="E247" s="643"/>
      <c r="F247" s="644"/>
      <c r="G247" s="644"/>
      <c r="H247" s="644"/>
      <c r="I247" s="644"/>
      <c r="J247" s="644"/>
      <c r="K247" s="644"/>
      <c r="L247" s="644"/>
      <c r="M247" s="644"/>
      <c r="N247" s="644"/>
      <c r="O247" s="644"/>
      <c r="P247" s="644"/>
      <c r="Q247" s="644"/>
      <c r="R247" s="644"/>
      <c r="S247" s="644"/>
      <c r="T247" s="644"/>
      <c r="U247" s="644"/>
      <c r="V247" s="644"/>
      <c r="W247" s="645"/>
      <c r="X247" s="645"/>
      <c r="Y247" s="645"/>
      <c r="Z247" s="645"/>
      <c r="AA247" s="645"/>
      <c r="AB247" s="645"/>
      <c r="AC247" s="645"/>
      <c r="AD247" s="645"/>
      <c r="AE247" s="645"/>
      <c r="AF247" s="645"/>
      <c r="AG247" s="645"/>
      <c r="AH247" s="645"/>
      <c r="AI247" s="645"/>
      <c r="AJ247" s="645"/>
      <c r="AK247" s="645"/>
      <c r="AL247" s="645"/>
      <c r="AM247" s="645"/>
      <c r="AN247" s="646"/>
      <c r="AO247" s="645"/>
      <c r="AP247" s="646"/>
      <c r="AQ247" s="646"/>
      <c r="AR247" s="646"/>
      <c r="AS247" s="646"/>
      <c r="AT247" s="646"/>
      <c r="AU247" s="646"/>
      <c r="AV247" s="646"/>
      <c r="AW247" s="646"/>
      <c r="AX247" s="646"/>
      <c r="AY247" s="646"/>
      <c r="AZ247" s="646"/>
      <c r="BA247" s="646"/>
      <c r="BB247" s="646"/>
      <c r="BC247" s="646"/>
      <c r="BD247" s="646"/>
      <c r="BE247" s="646"/>
      <c r="BF247" s="646"/>
      <c r="BG247" s="646"/>
      <c r="BH247" s="646"/>
      <c r="BI247" s="646"/>
      <c r="BJ247" s="646"/>
      <c r="BK247" s="646"/>
      <c r="BL247" s="646"/>
      <c r="BM247" s="646"/>
      <c r="BN247" s="646"/>
      <c r="BO247" s="646"/>
      <c r="BP247" s="646"/>
      <c r="BQ247" s="646"/>
      <c r="BR247" s="646"/>
      <c r="BS247" s="646"/>
      <c r="BT247" s="646"/>
      <c r="BU247" s="646"/>
      <c r="BV247" s="647"/>
      <c r="BW247" s="647"/>
      <c r="BX247" s="647"/>
      <c r="BY247" s="647"/>
      <c r="BZ247" s="647"/>
      <c r="CA247" s="647"/>
      <c r="CB247" s="647"/>
    </row>
    <row r="248" spans="1:80" s="658" customFormat="1" ht="37.200000000000003" customHeight="1" x14ac:dyDescent="0.4">
      <c r="A248" s="649"/>
      <c r="B248" s="650"/>
      <c r="C248" s="651"/>
      <c r="D248" s="652" t="s">
        <v>262</v>
      </c>
      <c r="E248" s="653"/>
      <c r="F248" s="654"/>
      <c r="G248" s="654"/>
      <c r="H248" s="654"/>
      <c r="I248" s="654"/>
      <c r="J248" s="654"/>
      <c r="K248" s="654"/>
      <c r="L248" s="654"/>
      <c r="M248" s="654"/>
      <c r="N248" s="654"/>
      <c r="O248" s="654"/>
      <c r="P248" s="654"/>
      <c r="Q248" s="654"/>
      <c r="R248" s="654"/>
      <c r="S248" s="654"/>
      <c r="T248" s="654"/>
      <c r="U248" s="654"/>
      <c r="V248" s="654"/>
      <c r="W248" s="655"/>
      <c r="X248" s="656"/>
      <c r="Y248" s="656"/>
      <c r="Z248" s="656"/>
      <c r="AA248" s="656"/>
      <c r="AB248" s="656"/>
      <c r="AC248" s="656"/>
      <c r="AD248" s="656"/>
      <c r="AE248" s="656"/>
      <c r="AF248" s="656"/>
      <c r="AG248" s="656"/>
      <c r="AH248" s="656"/>
      <c r="AI248" s="656"/>
      <c r="AJ248" s="656"/>
      <c r="AK248" s="656"/>
      <c r="AL248" s="656"/>
      <c r="AM248" s="656"/>
      <c r="AN248" s="656"/>
      <c r="AO248" s="656"/>
      <c r="AP248" s="656"/>
      <c r="AQ248" s="656"/>
      <c r="AR248" s="656"/>
      <c r="AS248" s="656"/>
      <c r="AT248" s="656"/>
      <c r="AU248" s="656"/>
      <c r="AV248" s="657"/>
      <c r="AW248" s="656"/>
      <c r="AX248" s="656"/>
      <c r="AY248" s="656"/>
      <c r="AZ248" s="656"/>
      <c r="BA248" s="656"/>
      <c r="BB248" s="656"/>
      <c r="BC248" s="656"/>
      <c r="BD248" s="656"/>
      <c r="BE248" s="656"/>
      <c r="BF248" s="656"/>
      <c r="BG248" s="656"/>
      <c r="BH248" s="656"/>
      <c r="BI248" s="656"/>
      <c r="BJ248" s="656"/>
      <c r="BK248" s="656"/>
      <c r="BL248" s="656"/>
      <c r="BM248" s="656"/>
      <c r="BN248" s="656"/>
      <c r="BO248" s="656"/>
      <c r="BP248" s="656"/>
      <c r="BQ248" s="656"/>
      <c r="BR248" s="656"/>
      <c r="BS248" s="656"/>
      <c r="BT248" s="656"/>
      <c r="BU248" s="656"/>
    </row>
    <row r="249" spans="1:80" x14ac:dyDescent="0.4">
      <c r="A249" s="132"/>
      <c r="B249" s="133"/>
      <c r="C249" s="5" t="s">
        <v>48</v>
      </c>
      <c r="D249" s="700" t="str">
        <f>$D$4</f>
        <v>Söguleg losun</v>
      </c>
      <c r="E249" s="700" t="s">
        <v>398</v>
      </c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5"/>
      <c r="AQ249" s="135"/>
      <c r="AR249" s="136"/>
      <c r="AS249" s="136"/>
      <c r="AT249" s="136"/>
      <c r="AU249" s="136"/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36"/>
      <c r="BR249" s="136"/>
      <c r="BS249" s="136"/>
      <c r="BT249" s="136"/>
      <c r="BU249" s="136"/>
      <c r="BV249" s="129"/>
      <c r="BW249" s="129"/>
      <c r="BX249" s="129"/>
      <c r="BY249" s="129"/>
      <c r="BZ249" s="129"/>
      <c r="CA249" s="129"/>
      <c r="CB249" s="129"/>
    </row>
    <row r="250" spans="1:80" s="143" customFormat="1" ht="20.399999999999999" customHeight="1" x14ac:dyDescent="0.35">
      <c r="A250" s="108" t="s">
        <v>42</v>
      </c>
      <c r="B250" s="114" t="s">
        <v>370</v>
      </c>
      <c r="C250" s="5" t="s">
        <v>48</v>
      </c>
      <c r="D250" s="15" t="s">
        <v>3</v>
      </c>
      <c r="E250" s="17" t="s">
        <v>124</v>
      </c>
      <c r="F250" s="15" t="s">
        <v>128</v>
      </c>
      <c r="G250" s="16" t="str">
        <f>$G$5</f>
        <v>Þús. tonn CO₂-íg. | kt CO₂e</v>
      </c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5">
        <v>2101.2814237842026</v>
      </c>
      <c r="X250" s="15">
        <v>2168.1722257246138</v>
      </c>
      <c r="Y250" s="15">
        <v>2315.6178653112056</v>
      </c>
      <c r="Z250" s="15">
        <v>2183.6599935790123</v>
      </c>
      <c r="AA250" s="15">
        <v>2095.1660671641989</v>
      </c>
      <c r="AB250" s="15">
        <v>1983.8614454676456</v>
      </c>
      <c r="AC250" s="15">
        <v>1862.7421833251983</v>
      </c>
      <c r="AD250" s="15">
        <v>1819.0083321496227</v>
      </c>
      <c r="AE250" s="15">
        <v>1789.5240940570325</v>
      </c>
      <c r="AF250" s="15">
        <v>1800.0315324239425</v>
      </c>
      <c r="AG250" s="15">
        <v>1830.1808074213263</v>
      </c>
      <c r="AH250" s="15">
        <v>1804.8395513311668</v>
      </c>
      <c r="AI250" s="15">
        <v>1838.838151488864</v>
      </c>
      <c r="AJ250" s="15">
        <v>1879.6599433442816</v>
      </c>
      <c r="AK250" s="15">
        <v>1823.8951244503246</v>
      </c>
      <c r="AL250" s="15">
        <v>1641.3732851982541</v>
      </c>
      <c r="AM250" s="15">
        <v>1719.0537941940854</v>
      </c>
      <c r="AN250" s="15">
        <v>1775.1276489335128</v>
      </c>
      <c r="AO250" s="15">
        <v>1746.6843645877777</v>
      </c>
      <c r="AP250" s="15">
        <v>1832.2924324621736</v>
      </c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</row>
    <row r="251" spans="1:80" s="143" customFormat="1" ht="20.399999999999999" customHeight="1" x14ac:dyDescent="0.35">
      <c r="A251" s="108" t="s">
        <v>43</v>
      </c>
      <c r="B251" s="114" t="s">
        <v>371</v>
      </c>
      <c r="C251" s="5" t="s">
        <v>48</v>
      </c>
      <c r="D251" s="15" t="s">
        <v>207</v>
      </c>
      <c r="E251" s="17" t="s">
        <v>125</v>
      </c>
      <c r="F251" s="15" t="s">
        <v>129</v>
      </c>
      <c r="G251" s="16" t="str">
        <f>$G$5</f>
        <v>Þús. tonn CO₂-íg. | kt CO₂e</v>
      </c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5">
        <v>128.22674545948428</v>
      </c>
      <c r="X251" s="15">
        <v>145.46522269028196</v>
      </c>
      <c r="Y251" s="15">
        <v>148.61043692679687</v>
      </c>
      <c r="Z251" s="15">
        <v>143.1819234368761</v>
      </c>
      <c r="AA251" s="15">
        <v>121.45871207341474</v>
      </c>
      <c r="AB251" s="15">
        <v>133.23940739174895</v>
      </c>
      <c r="AC251" s="15">
        <v>166.44755300734619</v>
      </c>
      <c r="AD251" s="15">
        <v>154.64456517335748</v>
      </c>
      <c r="AE251" s="15">
        <v>182.2000474147012</v>
      </c>
      <c r="AF251" s="15">
        <v>179.43897220716553</v>
      </c>
      <c r="AG251" s="15">
        <v>171.29642849183142</v>
      </c>
      <c r="AH251" s="15">
        <v>184.18656809887307</v>
      </c>
      <c r="AI251" s="15">
        <v>152.384939785612</v>
      </c>
      <c r="AJ251" s="15">
        <v>199.76319042114255</v>
      </c>
      <c r="AK251" s="15">
        <v>209.33734915046944</v>
      </c>
      <c r="AL251" s="15">
        <v>213.89938288212147</v>
      </c>
      <c r="AM251" s="15">
        <v>177.26569179952503</v>
      </c>
      <c r="AN251" s="15">
        <v>148.61232414565825</v>
      </c>
      <c r="AO251" s="15">
        <v>138.90179116162722</v>
      </c>
      <c r="AP251" s="15">
        <v>123.6716524789606</v>
      </c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</row>
    <row r="252" spans="1:80" s="143" customFormat="1" ht="20.399999999999999" customHeight="1" x14ac:dyDescent="0.35">
      <c r="A252" s="108" t="s">
        <v>44</v>
      </c>
      <c r="B252" s="114" t="s">
        <v>372</v>
      </c>
      <c r="C252" s="5" t="s">
        <v>48</v>
      </c>
      <c r="D252" s="15" t="s">
        <v>2</v>
      </c>
      <c r="E252" s="17" t="s">
        <v>126</v>
      </c>
      <c r="F252" s="15"/>
      <c r="G252" s="16" t="str">
        <f>$G$5</f>
        <v>Þús. tonn CO₂-íg. | kt CO₂e</v>
      </c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5">
        <v>676.35624315554026</v>
      </c>
      <c r="X252" s="15">
        <v>702.77832044800687</v>
      </c>
      <c r="Y252" s="15">
        <v>719.49205725593663</v>
      </c>
      <c r="Z252" s="15">
        <v>735.25336443442507</v>
      </c>
      <c r="AA252" s="15">
        <v>723.74948806605664</v>
      </c>
      <c r="AB252" s="15">
        <v>713.24660673925041</v>
      </c>
      <c r="AC252" s="15">
        <v>712.00689898355654</v>
      </c>
      <c r="AD252" s="15">
        <v>706.41995539190134</v>
      </c>
      <c r="AE252" s="15">
        <v>699.11151229400309</v>
      </c>
      <c r="AF252" s="15">
        <v>739.8778854052988</v>
      </c>
      <c r="AG252" s="15">
        <v>731.68218474228752</v>
      </c>
      <c r="AH252" s="15">
        <v>731.62153572810257</v>
      </c>
      <c r="AI252" s="15">
        <v>735.88838119656498</v>
      </c>
      <c r="AJ252" s="15">
        <v>716.16781784889179</v>
      </c>
      <c r="AK252" s="15">
        <v>701.7238087608456</v>
      </c>
      <c r="AL252" s="15">
        <v>699.17214984267878</v>
      </c>
      <c r="AM252" s="15">
        <v>703.77815936914863</v>
      </c>
      <c r="AN252" s="15">
        <v>694.39797034091566</v>
      </c>
      <c r="AO252" s="15">
        <v>675.62542094858054</v>
      </c>
      <c r="AP252" s="15">
        <v>669.59914464131464</v>
      </c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</row>
    <row r="253" spans="1:80" s="371" customFormat="1" ht="20.399999999999999" customHeight="1" x14ac:dyDescent="0.35">
      <c r="A253" s="108" t="s">
        <v>46</v>
      </c>
      <c r="B253" s="114" t="s">
        <v>373</v>
      </c>
      <c r="C253" s="5" t="s">
        <v>48</v>
      </c>
      <c r="D253" s="15" t="s">
        <v>1</v>
      </c>
      <c r="E253" s="17" t="s">
        <v>127</v>
      </c>
      <c r="F253" s="15"/>
      <c r="G253" s="16" t="str">
        <f>$G$5</f>
        <v>Þús. tonn CO₂-íg. | kt CO₂e</v>
      </c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5">
        <v>309.4550863499295</v>
      </c>
      <c r="X253" s="15">
        <v>333.07583774570196</v>
      </c>
      <c r="Y253" s="15">
        <v>336.59809645653598</v>
      </c>
      <c r="Z253" s="15">
        <v>319.07552636085347</v>
      </c>
      <c r="AA253" s="15">
        <v>309.20836584471436</v>
      </c>
      <c r="AB253" s="15">
        <v>305.67596243778644</v>
      </c>
      <c r="AC253" s="15">
        <v>286.33380167681753</v>
      </c>
      <c r="AD253" s="15">
        <v>266.02689980767514</v>
      </c>
      <c r="AE253" s="15">
        <v>265.34308724396942</v>
      </c>
      <c r="AF253" s="15">
        <v>265.43226219787164</v>
      </c>
      <c r="AG253" s="15">
        <v>264.35718550776443</v>
      </c>
      <c r="AH253" s="15">
        <v>260.49570988862047</v>
      </c>
      <c r="AI253" s="15">
        <v>257.99818993673932</v>
      </c>
      <c r="AJ253" s="15">
        <v>256.58386722176402</v>
      </c>
      <c r="AK253" s="15">
        <v>230.54539718147191</v>
      </c>
      <c r="AL253" s="15">
        <v>259.96877738955828</v>
      </c>
      <c r="AM253" s="15">
        <v>267.91523756528778</v>
      </c>
      <c r="AN253" s="15">
        <v>258.48028586415518</v>
      </c>
      <c r="AO253" s="15">
        <v>247.50886575665592</v>
      </c>
      <c r="AP253" s="15">
        <v>238.29994109170406</v>
      </c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</row>
    <row r="254" spans="1:80" s="136" customFormat="1" ht="20.399999999999999" customHeight="1" x14ac:dyDescent="0.35">
      <c r="A254" s="108" t="s">
        <v>111</v>
      </c>
      <c r="B254" s="114" t="s">
        <v>356</v>
      </c>
      <c r="C254" s="5" t="s">
        <v>48</v>
      </c>
      <c r="D254" s="22" t="s">
        <v>135</v>
      </c>
      <c r="E254" s="24"/>
      <c r="F254" s="22"/>
      <c r="G254" s="23" t="str">
        <f>$G$5</f>
        <v>Þús. tonn CO₂-íg. | kt CO₂e</v>
      </c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22">
        <v>3215.3194987491561</v>
      </c>
      <c r="X254" s="22">
        <v>3349.4916066086043</v>
      </c>
      <c r="Y254" s="22">
        <v>3520.3184559504757</v>
      </c>
      <c r="Z254" s="22">
        <v>3381.1708078111665</v>
      </c>
      <c r="AA254" s="22">
        <v>3249.582633148385</v>
      </c>
      <c r="AB254" s="22">
        <v>3136.0234220364309</v>
      </c>
      <c r="AC254" s="22">
        <v>3027.530436992919</v>
      </c>
      <c r="AD254" s="22">
        <v>2946.0997525225566</v>
      </c>
      <c r="AE254" s="22">
        <v>2936.1787410097058</v>
      </c>
      <c r="AF254" s="22">
        <v>2984.780652234278</v>
      </c>
      <c r="AG254" s="22">
        <v>2997.5166061632103</v>
      </c>
      <c r="AH254" s="22">
        <v>2981.1433650467634</v>
      </c>
      <c r="AI254" s="22">
        <v>2985.1096624077809</v>
      </c>
      <c r="AJ254" s="22">
        <v>3052.1748188360798</v>
      </c>
      <c r="AK254" s="22">
        <v>2965.501679543112</v>
      </c>
      <c r="AL254" s="22">
        <v>2814.4135953126129</v>
      </c>
      <c r="AM254" s="22">
        <v>2868.0139907849666</v>
      </c>
      <c r="AN254" s="22">
        <v>2876.6199736044764</v>
      </c>
      <c r="AO254" s="22">
        <v>2808.7190969481017</v>
      </c>
      <c r="AP254" s="22">
        <v>2863.861664527436</v>
      </c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</row>
    <row r="255" spans="1:80" s="139" customFormat="1" ht="19.2" customHeight="1" x14ac:dyDescent="0.4">
      <c r="A255" s="108"/>
      <c r="B255" s="109"/>
      <c r="C255" s="113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7"/>
      <c r="AN255" s="146"/>
      <c r="AO255" s="146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  <c r="BP255" s="145"/>
      <c r="BQ255" s="136"/>
      <c r="BR255" s="136"/>
      <c r="BS255" s="136"/>
      <c r="BT255" s="136"/>
      <c r="BU255" s="136"/>
    </row>
    <row r="256" spans="1:80" ht="37.200000000000003" customHeight="1" x14ac:dyDescent="0.4">
      <c r="A256" s="132"/>
      <c r="B256" s="133"/>
      <c r="C256" s="5" t="s">
        <v>48</v>
      </c>
      <c r="D256" s="1024" t="s">
        <v>445</v>
      </c>
      <c r="E256" s="1024" t="s">
        <v>446</v>
      </c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5"/>
      <c r="AQ256" s="135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29"/>
      <c r="BW256" s="129"/>
      <c r="BX256" s="129"/>
      <c r="BY256" s="129"/>
      <c r="BZ256" s="129"/>
      <c r="CA256" s="129"/>
      <c r="CB256" s="129"/>
    </row>
    <row r="257" spans="1:74" s="143" customFormat="1" ht="20.399999999999999" customHeight="1" x14ac:dyDescent="0.35">
      <c r="A257" s="108" t="s">
        <v>42</v>
      </c>
      <c r="B257" s="114" t="s">
        <v>374</v>
      </c>
      <c r="C257" s="5" t="s">
        <v>48</v>
      </c>
      <c r="D257" s="15" t="s">
        <v>3</v>
      </c>
      <c r="E257" s="17" t="s">
        <v>124</v>
      </c>
      <c r="F257" s="15" t="s">
        <v>128</v>
      </c>
      <c r="G257" s="16" t="str">
        <f>$G$5</f>
        <v>Þús. tonn CO₂-íg. | kt CO₂e</v>
      </c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5">
        <v>1679.6447984490771</v>
      </c>
      <c r="AR257" s="15">
        <v>1639.1384542123467</v>
      </c>
      <c r="AS257" s="15">
        <v>1613.0515846013952</v>
      </c>
      <c r="AT257" s="15">
        <v>1589.1100632896555</v>
      </c>
      <c r="AU257" s="15">
        <v>1571.1257939911075</v>
      </c>
      <c r="AV257" s="15">
        <v>1525.084048726286</v>
      </c>
      <c r="AW257" s="15">
        <v>1488.0354097747361</v>
      </c>
      <c r="AX257" s="15">
        <v>1450.3015534370634</v>
      </c>
      <c r="AY257" s="15">
        <v>1409.5055198395187</v>
      </c>
      <c r="AZ257" s="15">
        <v>1361.9910947664439</v>
      </c>
      <c r="BA257" s="15">
        <v>1287.8882816606804</v>
      </c>
      <c r="BB257" s="15">
        <v>1215.5160891267726</v>
      </c>
      <c r="BC257" s="15">
        <v>1140.5137225606586</v>
      </c>
      <c r="BD257" s="15">
        <v>1068.4145076258544</v>
      </c>
      <c r="BE257" s="15">
        <v>994.30528556031584</v>
      </c>
      <c r="BF257" s="15">
        <v>917.57993286000544</v>
      </c>
      <c r="BG257" s="15">
        <v>841.51038870538434</v>
      </c>
      <c r="BH257" s="15">
        <v>776.07112569473736</v>
      </c>
      <c r="BI257" s="15">
        <v>714.34700742654297</v>
      </c>
      <c r="BJ257" s="15">
        <v>663.36152926972011</v>
      </c>
      <c r="BK257" s="15">
        <v>610.47342672315926</v>
      </c>
      <c r="BL257" s="15">
        <v>561.8859176247513</v>
      </c>
      <c r="BM257" s="15">
        <v>514.75856011532551</v>
      </c>
      <c r="BN257" s="15">
        <v>470.99348919602539</v>
      </c>
      <c r="BO257" s="15">
        <v>429.69206255215317</v>
      </c>
      <c r="BP257" s="15">
        <v>394.68840481416817</v>
      </c>
      <c r="BQ257" s="15">
        <v>364.97496334005137</v>
      </c>
      <c r="BR257" s="15">
        <v>336.25144661720577</v>
      </c>
      <c r="BS257" s="15">
        <v>309.45423413362289</v>
      </c>
      <c r="BT257" s="15">
        <v>285.49407608779353</v>
      </c>
      <c r="BU257" s="15">
        <v>264.51635820557703</v>
      </c>
      <c r="BV257" s="406"/>
    </row>
    <row r="258" spans="1:74" s="143" customFormat="1" ht="20.399999999999999" customHeight="1" x14ac:dyDescent="0.35">
      <c r="A258" s="108" t="s">
        <v>43</v>
      </c>
      <c r="B258" s="114" t="s">
        <v>375</v>
      </c>
      <c r="C258" s="5" t="s">
        <v>48</v>
      </c>
      <c r="D258" s="15" t="s">
        <v>207</v>
      </c>
      <c r="E258" s="17" t="s">
        <v>125</v>
      </c>
      <c r="F258" s="15" t="s">
        <v>129</v>
      </c>
      <c r="G258" s="16" t="str">
        <f>$G$5</f>
        <v>Þús. tonn CO₂-íg. | kt CO₂e</v>
      </c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5">
        <v>120.66450700808559</v>
      </c>
      <c r="AR258" s="15">
        <v>99.700369897639803</v>
      </c>
      <c r="AS258" s="15">
        <v>105.30250805311266</v>
      </c>
      <c r="AT258" s="15">
        <v>59.354377248638684</v>
      </c>
      <c r="AU258" s="15">
        <v>44.585922549702218</v>
      </c>
      <c r="AV258" s="15">
        <v>51.048104041464057</v>
      </c>
      <c r="AW258" s="15">
        <v>33.240596245941333</v>
      </c>
      <c r="AX258" s="15">
        <v>33.995639830743812</v>
      </c>
      <c r="AY258" s="15">
        <v>40.66247349469063</v>
      </c>
      <c r="AZ258" s="15">
        <v>30.206721216772848</v>
      </c>
      <c r="BA258" s="15">
        <v>24.803596083636876</v>
      </c>
      <c r="BB258" s="15">
        <v>25.306502756246118</v>
      </c>
      <c r="BC258" s="15">
        <v>25.581519281096462</v>
      </c>
      <c r="BD258" s="15">
        <v>25.390398416283915</v>
      </c>
      <c r="BE258" s="15">
        <v>25.73283053383193</v>
      </c>
      <c r="BF258" s="15">
        <v>26.059935175321698</v>
      </c>
      <c r="BG258" s="15">
        <v>26.623570836891759</v>
      </c>
      <c r="BH258" s="15">
        <v>26.694402131350898</v>
      </c>
      <c r="BI258" s="15">
        <v>26.748414267854741</v>
      </c>
      <c r="BJ258" s="15">
        <v>26.795888692115568</v>
      </c>
      <c r="BK258" s="15">
        <v>26.837564738149922</v>
      </c>
      <c r="BL258" s="15">
        <v>26.973124481540935</v>
      </c>
      <c r="BM258" s="15">
        <v>27.268053628500638</v>
      </c>
      <c r="BN258" s="15">
        <v>27.009255333745159</v>
      </c>
      <c r="BO258" s="15">
        <v>26.885663332081322</v>
      </c>
      <c r="BP258" s="15">
        <v>26.872681143455793</v>
      </c>
      <c r="BQ258" s="15">
        <v>26.699038080841319</v>
      </c>
      <c r="BR258" s="15">
        <v>26.550261766411495</v>
      </c>
      <c r="BS258" s="15">
        <v>26.446209062840353</v>
      </c>
      <c r="BT258" s="15">
        <v>26.397928152788609</v>
      </c>
      <c r="BU258" s="15">
        <v>23.99217015580075</v>
      </c>
      <c r="BV258" s="406"/>
    </row>
    <row r="259" spans="1:74" s="143" customFormat="1" ht="20.399999999999999" customHeight="1" x14ac:dyDescent="0.35">
      <c r="A259" s="108" t="s">
        <v>44</v>
      </c>
      <c r="B259" s="114" t="s">
        <v>376</v>
      </c>
      <c r="C259" s="5" t="s">
        <v>48</v>
      </c>
      <c r="D259" s="15" t="s">
        <v>2</v>
      </c>
      <c r="E259" s="17" t="s">
        <v>126</v>
      </c>
      <c r="F259" s="15"/>
      <c r="G259" s="16" t="str">
        <f>$G$5</f>
        <v>Þús. tonn CO₂-íg. | kt CO₂e</v>
      </c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5">
        <v>673.08179574460871</v>
      </c>
      <c r="AR259" s="15">
        <v>673.41835300016351</v>
      </c>
      <c r="AS259" s="15">
        <v>673.19623770214559</v>
      </c>
      <c r="AT259" s="15">
        <v>672.87568068080157</v>
      </c>
      <c r="AU259" s="15">
        <v>671.48769930953154</v>
      </c>
      <c r="AV259" s="15">
        <v>670.14649749100101</v>
      </c>
      <c r="AW259" s="15">
        <v>668.76790307461727</v>
      </c>
      <c r="AX259" s="15">
        <v>667.44268629937437</v>
      </c>
      <c r="AY259" s="15">
        <v>666.04203933505767</v>
      </c>
      <c r="AZ259" s="15">
        <v>664.69071903405177</v>
      </c>
      <c r="BA259" s="15">
        <v>663.28409003970592</v>
      </c>
      <c r="BB259" s="15">
        <v>661.92444014565592</v>
      </c>
      <c r="BC259" s="15">
        <v>660.49511607331897</v>
      </c>
      <c r="BD259" s="15">
        <v>659.11814530760034</v>
      </c>
      <c r="BE259" s="15">
        <v>657.672446781899</v>
      </c>
      <c r="BF259" s="15">
        <v>656.28103813414009</v>
      </c>
      <c r="BG259" s="15">
        <v>654.82138713748839</v>
      </c>
      <c r="BH259" s="15">
        <v>653.41491695120055</v>
      </c>
      <c r="BI259" s="15">
        <v>651.93956908437315</v>
      </c>
      <c r="BJ259" s="15">
        <v>650.51732278427949</v>
      </c>
      <c r="BK259" s="15">
        <v>649.02627346151337</v>
      </c>
      <c r="BL259" s="15">
        <v>647.58846727680464</v>
      </c>
      <c r="BM259" s="15">
        <v>646.08160134166076</v>
      </c>
      <c r="BN259" s="15">
        <v>644.62788975339924</v>
      </c>
      <c r="BO259" s="15">
        <v>643.10513697191652</v>
      </c>
      <c r="BP259" s="15">
        <v>641.63549462025765</v>
      </c>
      <c r="BQ259" s="15">
        <v>640.09671663070799</v>
      </c>
      <c r="BR259" s="15">
        <v>638.6109621117065</v>
      </c>
      <c r="BS259" s="15">
        <v>637.05601846351271</v>
      </c>
      <c r="BT259" s="15">
        <v>635.55405162020065</v>
      </c>
      <c r="BU259" s="15">
        <v>633.98283589374171</v>
      </c>
      <c r="BV259" s="406"/>
    </row>
    <row r="260" spans="1:74" s="371" customFormat="1" ht="20.399999999999999" customHeight="1" x14ac:dyDescent="0.35">
      <c r="A260" s="108" t="s">
        <v>46</v>
      </c>
      <c r="B260" s="114" t="s">
        <v>377</v>
      </c>
      <c r="C260" s="5" t="s">
        <v>48</v>
      </c>
      <c r="D260" s="15" t="s">
        <v>1</v>
      </c>
      <c r="E260" s="17" t="s">
        <v>127</v>
      </c>
      <c r="F260" s="15"/>
      <c r="G260" s="16" t="str">
        <f>$G$5</f>
        <v>Þús. tonn CO₂-íg. | kt CO₂e</v>
      </c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5">
        <v>212.48530946568107</v>
      </c>
      <c r="AR260" s="15">
        <v>193.87317375364645</v>
      </c>
      <c r="AS260" s="15">
        <v>179.57487285400936</v>
      </c>
      <c r="AT260" s="15">
        <v>169.61174603485171</v>
      </c>
      <c r="AU260" s="15">
        <v>163.13574294175328</v>
      </c>
      <c r="AV260" s="15">
        <v>157.02286746362003</v>
      </c>
      <c r="AW260" s="15">
        <v>148.65843135546595</v>
      </c>
      <c r="AX260" s="15">
        <v>142.88354054478407</v>
      </c>
      <c r="AY260" s="15">
        <v>138.0108669376385</v>
      </c>
      <c r="AZ260" s="15">
        <v>133.9451514852407</v>
      </c>
      <c r="BA260" s="15">
        <v>128.72813228121259</v>
      </c>
      <c r="BB260" s="15">
        <v>122.65593941956192</v>
      </c>
      <c r="BC260" s="15">
        <v>117.15267384176663</v>
      </c>
      <c r="BD260" s="15">
        <v>112.15740197952532</v>
      </c>
      <c r="BE260" s="15">
        <v>107.61873334383559</v>
      </c>
      <c r="BF260" s="15">
        <v>103.48465704358206</v>
      </c>
      <c r="BG260" s="15">
        <v>99.718092431152741</v>
      </c>
      <c r="BH260" s="15">
        <v>96.284091462793953</v>
      </c>
      <c r="BI260" s="15">
        <v>93.145956816227596</v>
      </c>
      <c r="BJ260" s="15">
        <v>90.276772380399564</v>
      </c>
      <c r="BK260" s="15">
        <v>87.649888518310306</v>
      </c>
      <c r="BL260" s="15">
        <v>85.244516903691505</v>
      </c>
      <c r="BM260" s="15">
        <v>83.037667294676794</v>
      </c>
      <c r="BN260" s="15">
        <v>80.99943135820395</v>
      </c>
      <c r="BO260" s="15">
        <v>79.128311754715412</v>
      </c>
      <c r="BP260" s="15">
        <v>77.407691288383461</v>
      </c>
      <c r="BQ260" s="15">
        <v>75.816365049297517</v>
      </c>
      <c r="BR260" s="15">
        <v>74.348594751515037</v>
      </c>
      <c r="BS260" s="15">
        <v>72.996336297633547</v>
      </c>
      <c r="BT260" s="15">
        <v>71.750682294626444</v>
      </c>
      <c r="BU260" s="15">
        <v>70.59461363236926</v>
      </c>
      <c r="BV260" s="406"/>
    </row>
    <row r="261" spans="1:74" s="136" customFormat="1" ht="20.399999999999999" customHeight="1" x14ac:dyDescent="0.35">
      <c r="A261" s="108" t="s">
        <v>354</v>
      </c>
      <c r="B261" s="114" t="s">
        <v>354</v>
      </c>
      <c r="C261" s="5" t="s">
        <v>48</v>
      </c>
      <c r="D261" s="22" t="s">
        <v>135</v>
      </c>
      <c r="E261" s="24"/>
      <c r="F261" s="22"/>
      <c r="G261" s="23" t="str">
        <f>$G$5</f>
        <v>Þús. tonn CO₂-íg. | kt CO₂e</v>
      </c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22">
        <v>2685.8764106674525</v>
      </c>
      <c r="AR261" s="22">
        <v>2606.1303508637966</v>
      </c>
      <c r="AS261" s="22">
        <v>2571.1252032106631</v>
      </c>
      <c r="AT261" s="22">
        <v>2490.9518672539471</v>
      </c>
      <c r="AU261" s="22">
        <v>2450.3351587920934</v>
      </c>
      <c r="AV261" s="22">
        <v>2403.3015177223724</v>
      </c>
      <c r="AW261" s="22">
        <v>2338.7023404507599</v>
      </c>
      <c r="AX261" s="22">
        <v>2294.6234201119664</v>
      </c>
      <c r="AY261" s="22">
        <v>2254.2208996069057</v>
      </c>
      <c r="AZ261" s="22">
        <v>2190.8336865025094</v>
      </c>
      <c r="BA261" s="22">
        <v>2104.7041000652357</v>
      </c>
      <c r="BB261" s="22">
        <v>2025.4029714482367</v>
      </c>
      <c r="BC261" s="22">
        <v>1943.7430317568403</v>
      </c>
      <c r="BD261" s="22">
        <v>1865.0804533292642</v>
      </c>
      <c r="BE261" s="22">
        <v>1785.3292962198825</v>
      </c>
      <c r="BF261" s="22">
        <v>1703.4055632130492</v>
      </c>
      <c r="BG261" s="22">
        <v>1622.6734391109169</v>
      </c>
      <c r="BH261" s="22">
        <v>1552.4645362400831</v>
      </c>
      <c r="BI261" s="22">
        <v>1486.1809475949988</v>
      </c>
      <c r="BJ261" s="22">
        <v>1430.951513126515</v>
      </c>
      <c r="BK261" s="22">
        <v>1373.9871534411332</v>
      </c>
      <c r="BL261" s="22">
        <v>1321.6920262867882</v>
      </c>
      <c r="BM261" s="22">
        <v>1271.1458823801638</v>
      </c>
      <c r="BN261" s="22">
        <v>1223.6300656413739</v>
      </c>
      <c r="BO261" s="22">
        <v>1178.8111746108671</v>
      </c>
      <c r="BP261" s="22">
        <v>1140.6042718662652</v>
      </c>
      <c r="BQ261" s="22">
        <v>1107.5870831008979</v>
      </c>
      <c r="BR261" s="22">
        <v>1075.761265246839</v>
      </c>
      <c r="BS261" s="22">
        <v>1045.9527979576096</v>
      </c>
      <c r="BT261" s="22">
        <v>1019.1967381554093</v>
      </c>
      <c r="BU261" s="22">
        <v>993.08597788748853</v>
      </c>
    </row>
    <row r="262" spans="1:74" s="349" customFormat="1" ht="19.5" customHeight="1" x14ac:dyDescent="0.4">
      <c r="A262" s="336"/>
      <c r="B262" s="254"/>
      <c r="C262" s="84"/>
      <c r="D262" s="337"/>
      <c r="E262" s="338"/>
      <c r="F262" s="339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340"/>
      <c r="X262" s="341"/>
      <c r="Y262" s="342"/>
      <c r="Z262" s="342"/>
      <c r="AA262" s="342"/>
      <c r="AB262" s="342"/>
      <c r="AC262" s="342"/>
      <c r="AD262" s="342"/>
      <c r="AE262" s="342"/>
      <c r="AF262" s="342"/>
      <c r="AG262" s="342"/>
      <c r="AH262" s="342"/>
      <c r="AI262" s="342"/>
      <c r="AJ262" s="342"/>
      <c r="AK262" s="342"/>
      <c r="AL262" s="342"/>
      <c r="AM262" s="343"/>
      <c r="AN262" s="344"/>
      <c r="AO262" s="343"/>
      <c r="AP262" s="345"/>
      <c r="AQ262" s="345"/>
      <c r="AR262" s="345"/>
      <c r="AS262" s="345"/>
      <c r="AT262" s="345"/>
      <c r="AU262" s="345"/>
      <c r="AV262" s="346"/>
      <c r="AW262" s="347"/>
      <c r="AX262" s="339"/>
      <c r="AY262" s="339"/>
      <c r="AZ262" s="339"/>
      <c r="BA262" s="339"/>
      <c r="BB262" s="339"/>
      <c r="BC262" s="339"/>
      <c r="BD262" s="339"/>
      <c r="BE262" s="339"/>
      <c r="BF262" s="339"/>
      <c r="BG262" s="339"/>
      <c r="BH262" s="339"/>
      <c r="BI262" s="339"/>
      <c r="BJ262" s="339"/>
      <c r="BK262" s="339"/>
      <c r="BL262" s="339"/>
      <c r="BM262" s="339"/>
      <c r="BN262" s="339"/>
      <c r="BO262" s="339"/>
      <c r="BP262" s="339"/>
      <c r="BQ262" s="339"/>
      <c r="BR262" s="348"/>
      <c r="BS262" s="348"/>
      <c r="BT262" s="348"/>
      <c r="BU262" s="348"/>
    </row>
    <row r="263" spans="1:74" s="143" customFormat="1" ht="19.5" customHeight="1" x14ac:dyDescent="0.4">
      <c r="A263" s="108" t="s">
        <v>95</v>
      </c>
      <c r="B263" s="114" t="s">
        <v>95</v>
      </c>
      <c r="C263" s="148"/>
      <c r="D263" s="213" t="s">
        <v>37</v>
      </c>
      <c r="E263" s="149" t="s">
        <v>37</v>
      </c>
      <c r="F263" s="150" t="s">
        <v>396</v>
      </c>
      <c r="G263" s="151"/>
      <c r="H263" s="151" t="s">
        <v>48</v>
      </c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2">
        <v>3109.3290000000002</v>
      </c>
      <c r="X263" s="153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3"/>
      <c r="AM263" s="152"/>
      <c r="AN263" s="155"/>
      <c r="AO263" s="155"/>
      <c r="AP263" s="155"/>
      <c r="AQ263" s="155"/>
      <c r="AR263" s="153"/>
      <c r="AS263" s="153"/>
      <c r="AT263" s="153"/>
      <c r="AU263" s="153"/>
      <c r="AV263" s="152"/>
      <c r="AW263" s="156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3"/>
      <c r="BS263" s="153"/>
      <c r="BT263" s="153"/>
      <c r="BU263" s="153"/>
    </row>
    <row r="264" spans="1:74" s="143" customFormat="1" ht="19.5" customHeight="1" x14ac:dyDescent="0.4">
      <c r="A264" s="114" t="s">
        <v>217</v>
      </c>
      <c r="B264" s="109" t="s">
        <v>48</v>
      </c>
      <c r="C264" s="148"/>
      <c r="D264" s="214" t="s">
        <v>40</v>
      </c>
      <c r="E264" s="157" t="s">
        <v>221</v>
      </c>
      <c r="F264" s="150" t="s">
        <v>222</v>
      </c>
      <c r="G264" s="151"/>
      <c r="H264" s="151" t="s">
        <v>48</v>
      </c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8"/>
      <c r="Y264" s="158"/>
      <c r="Z264" s="158"/>
      <c r="AA264" s="158"/>
      <c r="AB264" s="158"/>
      <c r="AC264" s="158"/>
      <c r="AD264" s="158"/>
      <c r="AE264" s="158"/>
      <c r="AF264" s="158"/>
      <c r="AG264" s="158"/>
      <c r="AH264" s="158"/>
      <c r="AI264" s="158"/>
      <c r="AJ264" s="158"/>
      <c r="AK264" s="158"/>
      <c r="AL264" s="152"/>
      <c r="AM264" s="152">
        <v>2876.15</v>
      </c>
      <c r="AN264" s="152">
        <v>2802.9929999999999</v>
      </c>
      <c r="AO264" s="152">
        <v>2681.9318887499999</v>
      </c>
      <c r="AP264" s="152">
        <v>2560.8707774999998</v>
      </c>
      <c r="AQ264" s="152">
        <v>2439.8096662499997</v>
      </c>
      <c r="AR264" s="152">
        <v>2489.5706349302391</v>
      </c>
      <c r="AS264" s="152">
        <v>2325.8040036976795</v>
      </c>
      <c r="AT264" s="152">
        <v>2162.0373724651199</v>
      </c>
      <c r="AU264" s="152">
        <v>1998.2707412325601</v>
      </c>
      <c r="AV264" s="152">
        <v>1834.5041100000001</v>
      </c>
      <c r="AW264" s="152"/>
      <c r="AX264" s="159"/>
      <c r="AY264" s="152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159"/>
      <c r="BN264" s="159"/>
      <c r="BO264" s="159"/>
      <c r="BP264" s="159"/>
      <c r="BQ264" s="159"/>
      <c r="BR264" s="153"/>
      <c r="BS264" s="153"/>
      <c r="BT264" s="153"/>
      <c r="BU264" s="153"/>
    </row>
    <row r="265" spans="1:74" s="141" customFormat="1" ht="19.5" customHeight="1" x14ac:dyDescent="0.4">
      <c r="A265" s="108"/>
      <c r="B265" s="109"/>
      <c r="C265" s="41"/>
      <c r="D265" s="215"/>
      <c r="E265" s="160"/>
      <c r="F265" s="127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49"/>
      <c r="X265" s="161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3"/>
      <c r="AN265" s="164"/>
      <c r="AO265" s="163"/>
      <c r="AP265" s="165"/>
      <c r="AQ265" s="165"/>
      <c r="AR265" s="165"/>
      <c r="AS265" s="165"/>
      <c r="AT265" s="165"/>
      <c r="AU265" s="165"/>
      <c r="AV265" s="166"/>
      <c r="AW265" s="16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43"/>
      <c r="BS265" s="143"/>
      <c r="BT265" s="143"/>
      <c r="BU265" s="143"/>
    </row>
    <row r="266" spans="1:74" s="661" customFormat="1" ht="42.6" customHeight="1" x14ac:dyDescent="0.75">
      <c r="A266" s="659"/>
      <c r="B266" s="642"/>
      <c r="C266" s="660"/>
      <c r="D266" s="642" t="s">
        <v>197</v>
      </c>
      <c r="E266" s="644"/>
      <c r="F266" s="646"/>
      <c r="G266" s="645"/>
      <c r="H266" s="645"/>
      <c r="I266" s="645"/>
      <c r="J266" s="645"/>
      <c r="K266" s="645"/>
      <c r="L266" s="645"/>
      <c r="M266" s="645"/>
      <c r="N266" s="645"/>
      <c r="O266" s="645"/>
      <c r="P266" s="645"/>
      <c r="Q266" s="645"/>
      <c r="R266" s="645"/>
      <c r="S266" s="645"/>
      <c r="T266" s="645"/>
      <c r="U266" s="645"/>
      <c r="V266" s="645"/>
      <c r="W266" s="645"/>
      <c r="X266" s="645"/>
      <c r="Y266" s="645"/>
      <c r="Z266" s="645"/>
      <c r="AA266" s="645"/>
      <c r="AB266" s="645"/>
      <c r="AC266" s="645"/>
      <c r="AD266" s="645"/>
      <c r="AE266" s="645"/>
      <c r="AF266" s="645"/>
      <c r="AG266" s="645"/>
      <c r="AH266" s="645"/>
      <c r="AI266" s="645"/>
      <c r="AJ266" s="645"/>
      <c r="AK266" s="645"/>
      <c r="AL266" s="646"/>
      <c r="AM266" s="646"/>
      <c r="AN266" s="646"/>
      <c r="AO266" s="646"/>
      <c r="AP266" s="646"/>
      <c r="AQ266" s="646"/>
      <c r="AR266" s="646"/>
      <c r="AS266" s="646"/>
      <c r="AT266" s="646"/>
      <c r="AU266" s="646"/>
      <c r="AV266" s="646"/>
      <c r="AW266" s="646"/>
      <c r="AX266" s="646"/>
      <c r="AY266" s="646"/>
      <c r="AZ266" s="646"/>
      <c r="BA266" s="646"/>
      <c r="BB266" s="646"/>
      <c r="BC266" s="646"/>
      <c r="BD266" s="646"/>
      <c r="BE266" s="646"/>
      <c r="BF266" s="646"/>
      <c r="BG266" s="646"/>
      <c r="BH266" s="646"/>
      <c r="BI266" s="646"/>
      <c r="BJ266" s="646"/>
      <c r="BK266" s="646"/>
      <c r="BL266" s="646"/>
      <c r="BM266" s="646"/>
      <c r="BN266" s="646"/>
      <c r="BO266" s="646"/>
      <c r="BP266" s="646"/>
      <c r="BQ266" s="646"/>
      <c r="BR266" s="646"/>
      <c r="BS266" s="646"/>
      <c r="BT266" s="646"/>
      <c r="BU266" s="646"/>
    </row>
    <row r="267" spans="1:74" s="667" customFormat="1" ht="37.200000000000003" customHeight="1" x14ac:dyDescent="0.4">
      <c r="A267" s="662"/>
      <c r="B267" s="663"/>
      <c r="C267" s="664"/>
      <c r="D267" s="665" t="s">
        <v>205</v>
      </c>
      <c r="E267" s="663"/>
      <c r="F267" s="663"/>
      <c r="G267" s="663"/>
      <c r="H267" s="663"/>
      <c r="I267" s="663"/>
      <c r="J267" s="663"/>
      <c r="K267" s="663"/>
      <c r="L267" s="663"/>
      <c r="M267" s="663"/>
      <c r="N267" s="663"/>
      <c r="O267" s="663"/>
      <c r="P267" s="663"/>
      <c r="Q267" s="663"/>
      <c r="R267" s="663"/>
      <c r="S267" s="663"/>
      <c r="T267" s="663"/>
      <c r="U267" s="663"/>
      <c r="V267" s="663"/>
      <c r="W267" s="655"/>
      <c r="X267" s="666"/>
      <c r="Y267" s="666"/>
      <c r="Z267" s="666"/>
      <c r="AA267" s="666"/>
      <c r="AB267" s="666"/>
      <c r="AC267" s="666"/>
      <c r="AD267" s="666"/>
      <c r="AE267" s="666"/>
      <c r="AF267" s="666"/>
      <c r="AG267" s="666"/>
      <c r="AH267" s="666"/>
      <c r="AI267" s="666"/>
      <c r="AJ267" s="666"/>
      <c r="AK267" s="666"/>
      <c r="AL267" s="666"/>
      <c r="AM267" s="666"/>
      <c r="AN267" s="666"/>
      <c r="AO267" s="666"/>
      <c r="AP267" s="666"/>
      <c r="AQ267" s="666"/>
      <c r="AR267" s="666"/>
      <c r="AS267" s="666"/>
      <c r="AT267" s="666"/>
      <c r="AU267" s="666"/>
      <c r="AV267" s="657"/>
      <c r="AW267" s="666"/>
      <c r="AX267" s="666"/>
      <c r="AY267" s="666"/>
      <c r="AZ267" s="666"/>
      <c r="BA267" s="666"/>
      <c r="BB267" s="666"/>
      <c r="BC267" s="666"/>
      <c r="BD267" s="666"/>
      <c r="BE267" s="666"/>
      <c r="BF267" s="666"/>
      <c r="BG267" s="666"/>
      <c r="BH267" s="666"/>
      <c r="BI267" s="666"/>
      <c r="BJ267" s="666"/>
      <c r="BK267" s="666"/>
      <c r="BL267" s="666"/>
      <c r="BM267" s="666"/>
      <c r="BN267" s="666"/>
      <c r="BO267" s="666"/>
      <c r="BP267" s="666"/>
      <c r="BQ267" s="666"/>
      <c r="BR267" s="666"/>
      <c r="BS267" s="666"/>
      <c r="BT267" s="666"/>
      <c r="BU267" s="666"/>
    </row>
    <row r="268" spans="1:74" s="141" customFormat="1" ht="17.25" customHeight="1" x14ac:dyDescent="0.4">
      <c r="A268" s="108"/>
      <c r="B268" s="109" t="s">
        <v>48</v>
      </c>
      <c r="C268" s="5"/>
      <c r="D268" s="700" t="str">
        <f>$D$4</f>
        <v>Söguleg losun</v>
      </c>
      <c r="E268" s="700" t="s">
        <v>398</v>
      </c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9"/>
      <c r="AO268" s="168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</row>
    <row r="269" spans="1:74" s="372" customFormat="1" ht="19.2" customHeight="1" x14ac:dyDescent="0.45">
      <c r="A269" s="354" t="s">
        <v>51</v>
      </c>
      <c r="B269" s="109" t="str">
        <f>A269</f>
        <v>1.A.3.b Road transportationkt CO2-eq</v>
      </c>
      <c r="C269" s="13" t="s">
        <v>48</v>
      </c>
      <c r="D269" s="15" t="s">
        <v>6</v>
      </c>
      <c r="E269" s="17" t="str">
        <f>$E$50</f>
        <v>Road Transport</v>
      </c>
      <c r="F269" s="55"/>
      <c r="G269" s="16" t="str">
        <f t="shared" ref="G269:G280" si="57">$G$5</f>
        <v>Þús. tonn CO₂-íg. | kt CO₂e</v>
      </c>
      <c r="H269" s="393"/>
      <c r="I269" s="393"/>
      <c r="J269" s="393"/>
      <c r="K269" s="393"/>
      <c r="L269" s="393"/>
      <c r="M269" s="393"/>
      <c r="N269" s="393"/>
      <c r="O269" s="393"/>
      <c r="P269" s="393"/>
      <c r="Q269" s="393"/>
      <c r="R269" s="393"/>
      <c r="S269" s="393"/>
      <c r="T269" s="393"/>
      <c r="U269" s="393"/>
      <c r="V269" s="393"/>
      <c r="W269" s="15">
        <v>774.98717675893204</v>
      </c>
      <c r="X269" s="15">
        <v>883.45643465810895</v>
      </c>
      <c r="Y269" s="15">
        <v>914.96673008540438</v>
      </c>
      <c r="Z269" s="15">
        <v>861.23256083911201</v>
      </c>
      <c r="AA269" s="15">
        <v>862.03000676944737</v>
      </c>
      <c r="AB269" s="15">
        <v>814.50613831283817</v>
      </c>
      <c r="AC269" s="15">
        <v>796.11839555550409</v>
      </c>
      <c r="AD269" s="15">
        <v>790.6110668506775</v>
      </c>
      <c r="AE269" s="15">
        <v>805.08699020156052</v>
      </c>
      <c r="AF269" s="15">
        <v>804.21870801816067</v>
      </c>
      <c r="AG269" s="15">
        <v>826.77387826647612</v>
      </c>
      <c r="AH269" s="15">
        <v>901.82935475513204</v>
      </c>
      <c r="AI269" s="15">
        <v>951.38285700063068</v>
      </c>
      <c r="AJ269" s="15">
        <v>976.87378174223034</v>
      </c>
      <c r="AK269" s="15">
        <v>956.41080350449442</v>
      </c>
      <c r="AL269" s="15">
        <v>830.28358849622089</v>
      </c>
      <c r="AM269" s="15">
        <v>859.18483703617517</v>
      </c>
      <c r="AN269" s="15">
        <v>926.00597157855555</v>
      </c>
      <c r="AO269" s="15">
        <v>921.28112564453443</v>
      </c>
      <c r="AP269" s="15">
        <v>898.35428884904547</v>
      </c>
      <c r="AQ269" s="1008"/>
      <c r="AR269" s="18"/>
      <c r="AS269" s="18"/>
      <c r="AT269" s="18"/>
      <c r="AU269" s="18"/>
      <c r="AV269" s="100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</row>
    <row r="270" spans="1:74" s="143" customFormat="1" ht="19.2" customHeight="1" x14ac:dyDescent="0.35">
      <c r="A270" s="114" t="s">
        <v>50</v>
      </c>
      <c r="B270" s="109" t="str">
        <f t="shared" ref="B270:B280" si="58">A270</f>
        <v>1.A.4.c.iii Agriculture/Forestry/Fishing - Fishing kt CO2-eq</v>
      </c>
      <c r="C270" s="170" t="s">
        <v>48</v>
      </c>
      <c r="D270" s="15" t="s">
        <v>5</v>
      </c>
      <c r="E270" s="17" t="str">
        <f>$E$49</f>
        <v>Fishing</v>
      </c>
      <c r="F270" s="55"/>
      <c r="G270" s="16" t="str">
        <f t="shared" si="57"/>
        <v>Þús. tonn CO₂-íg. | kt CO₂e</v>
      </c>
      <c r="H270" s="393"/>
      <c r="I270" s="393"/>
      <c r="J270" s="393"/>
      <c r="K270" s="393"/>
      <c r="L270" s="393"/>
      <c r="M270" s="393"/>
      <c r="N270" s="393"/>
      <c r="O270" s="393"/>
      <c r="P270" s="393"/>
      <c r="Q270" s="393"/>
      <c r="R270" s="393"/>
      <c r="S270" s="393"/>
      <c r="T270" s="393"/>
      <c r="U270" s="393"/>
      <c r="V270" s="393"/>
      <c r="W270" s="15">
        <v>742.27579695757936</v>
      </c>
      <c r="X270" s="15">
        <v>676.16624793131371</v>
      </c>
      <c r="Y270" s="15">
        <v>768.90031104164586</v>
      </c>
      <c r="Z270" s="15">
        <v>706.67813037021858</v>
      </c>
      <c r="AA270" s="15">
        <v>762.70393720745039</v>
      </c>
      <c r="AB270" s="15">
        <v>726.56824505484042</v>
      </c>
      <c r="AC270" s="15">
        <v>657.20260984912954</v>
      </c>
      <c r="AD270" s="15">
        <v>651.37378056662806</v>
      </c>
      <c r="AE270" s="15">
        <v>614.72353826059737</v>
      </c>
      <c r="AF270" s="15">
        <v>606.24731041801465</v>
      </c>
      <c r="AG270" s="15">
        <v>621.21740588116916</v>
      </c>
      <c r="AH270" s="15">
        <v>518.76690503112491</v>
      </c>
      <c r="AI270" s="15">
        <v>530.38142924834813</v>
      </c>
      <c r="AJ270" s="15">
        <v>546.90019133575004</v>
      </c>
      <c r="AK270" s="15">
        <v>518.36261174209733</v>
      </c>
      <c r="AL270" s="15">
        <v>509.49421478812258</v>
      </c>
      <c r="AM270" s="15">
        <v>569.42147138918847</v>
      </c>
      <c r="AN270" s="15">
        <v>480.50043943615663</v>
      </c>
      <c r="AO270" s="15">
        <v>485.3352147538011</v>
      </c>
      <c r="AP270" s="15">
        <v>519.47716734952905</v>
      </c>
      <c r="AQ270" s="1008"/>
      <c r="AR270" s="18"/>
      <c r="AS270" s="18"/>
      <c r="AT270" s="18"/>
      <c r="AU270" s="18"/>
      <c r="AV270" s="100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</row>
    <row r="271" spans="1:74" s="143" customFormat="1" ht="19.2" customHeight="1" x14ac:dyDescent="0.35">
      <c r="A271" s="114" t="s">
        <v>44</v>
      </c>
      <c r="B271" s="109" t="str">
        <f t="shared" si="58"/>
        <v>3. Agriculturekt CO2-eq</v>
      </c>
      <c r="C271" s="170" t="s">
        <v>48</v>
      </c>
      <c r="D271" s="15" t="s">
        <v>2</v>
      </c>
      <c r="E271" s="17" t="s">
        <v>126</v>
      </c>
      <c r="F271" s="172"/>
      <c r="G271" s="16" t="str">
        <f t="shared" si="57"/>
        <v>Þús. tonn CO₂-íg. | kt CO₂e</v>
      </c>
      <c r="H271" s="393"/>
      <c r="I271" s="393"/>
      <c r="J271" s="393"/>
      <c r="K271" s="393"/>
      <c r="L271" s="393"/>
      <c r="M271" s="393"/>
      <c r="N271" s="393"/>
      <c r="O271" s="393"/>
      <c r="P271" s="393"/>
      <c r="Q271" s="393"/>
      <c r="R271" s="393"/>
      <c r="S271" s="393"/>
      <c r="T271" s="393"/>
      <c r="U271" s="393"/>
      <c r="V271" s="393"/>
      <c r="W271" s="15">
        <v>676.35624315554026</v>
      </c>
      <c r="X271" s="15">
        <v>702.77832044800687</v>
      </c>
      <c r="Y271" s="15">
        <v>719.49205725593663</v>
      </c>
      <c r="Z271" s="15">
        <v>735.25336443442507</v>
      </c>
      <c r="AA271" s="15">
        <v>723.74948806605664</v>
      </c>
      <c r="AB271" s="15">
        <v>713.24660673925041</v>
      </c>
      <c r="AC271" s="15">
        <v>712.00689898355654</v>
      </c>
      <c r="AD271" s="15">
        <v>706.41995539190134</v>
      </c>
      <c r="AE271" s="15">
        <v>699.11151229400309</v>
      </c>
      <c r="AF271" s="15">
        <v>739.8778854052988</v>
      </c>
      <c r="AG271" s="15">
        <v>731.68218474228752</v>
      </c>
      <c r="AH271" s="15">
        <v>731.62153572810257</v>
      </c>
      <c r="AI271" s="15">
        <v>735.88838119656498</v>
      </c>
      <c r="AJ271" s="15">
        <v>716.16781784889179</v>
      </c>
      <c r="AK271" s="15">
        <v>701.7238087608456</v>
      </c>
      <c r="AL271" s="15">
        <v>699.17214984267878</v>
      </c>
      <c r="AM271" s="15">
        <v>703.77815936914863</v>
      </c>
      <c r="AN271" s="15">
        <v>694.39797034091566</v>
      </c>
      <c r="AO271" s="15">
        <v>675.62542094858054</v>
      </c>
      <c r="AP271" s="15">
        <v>669.59914464131464</v>
      </c>
      <c r="AQ271" s="1008"/>
      <c r="AR271" s="18"/>
      <c r="AS271" s="18"/>
      <c r="AT271" s="18"/>
      <c r="AU271" s="18"/>
      <c r="AV271" s="100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</row>
    <row r="272" spans="1:74" s="143" customFormat="1" ht="19.2" customHeight="1" x14ac:dyDescent="0.35">
      <c r="A272" s="114" t="s">
        <v>76</v>
      </c>
      <c r="B272" s="109" t="str">
        <f t="shared" si="58"/>
        <v>5.A Solid waste disposalkt CO2-eq</v>
      </c>
      <c r="C272" s="170" t="s">
        <v>48</v>
      </c>
      <c r="D272" s="15" t="s">
        <v>25</v>
      </c>
      <c r="E272" s="17" t="s">
        <v>141</v>
      </c>
      <c r="F272" s="172"/>
      <c r="G272" s="16" t="str">
        <f t="shared" si="57"/>
        <v>Þús. tonn CO₂-íg. | kt CO₂e</v>
      </c>
      <c r="H272" s="393"/>
      <c r="I272" s="393"/>
      <c r="J272" s="393"/>
      <c r="K272" s="393"/>
      <c r="L272" s="393"/>
      <c r="M272" s="393"/>
      <c r="N272" s="393"/>
      <c r="O272" s="393"/>
      <c r="P272" s="393"/>
      <c r="Q272" s="393"/>
      <c r="R272" s="393"/>
      <c r="S272" s="393"/>
      <c r="T272" s="393"/>
      <c r="U272" s="393"/>
      <c r="V272" s="393"/>
      <c r="W272" s="15">
        <v>283.88073703295896</v>
      </c>
      <c r="X272" s="15">
        <v>308.73464539352659</v>
      </c>
      <c r="Y272" s="15">
        <v>308.02966803621149</v>
      </c>
      <c r="Z272" s="15">
        <v>293.01549216116052</v>
      </c>
      <c r="AA272" s="15">
        <v>283.75050344880202</v>
      </c>
      <c r="AB272" s="15">
        <v>280.45500605778898</v>
      </c>
      <c r="AC272" s="15">
        <v>259.9436503224897</v>
      </c>
      <c r="AD272" s="15">
        <v>237.97107935754372</v>
      </c>
      <c r="AE272" s="15">
        <v>238.18718205726799</v>
      </c>
      <c r="AF272" s="15">
        <v>236.75247745728154</v>
      </c>
      <c r="AG272" s="15">
        <v>233.69345769894986</v>
      </c>
      <c r="AH272" s="15">
        <v>230.92311140512251</v>
      </c>
      <c r="AI272" s="15">
        <v>226.76234473413896</v>
      </c>
      <c r="AJ272" s="15">
        <v>226.65217521019284</v>
      </c>
      <c r="AK272" s="15">
        <v>201.10888758887586</v>
      </c>
      <c r="AL272" s="15">
        <v>229.71870281250821</v>
      </c>
      <c r="AM272" s="15">
        <v>236.23555643445795</v>
      </c>
      <c r="AN272" s="15">
        <v>226.69161876538172</v>
      </c>
      <c r="AO272" s="15">
        <v>215.59498621843665</v>
      </c>
      <c r="AP272" s="15">
        <v>203.07062729519799</v>
      </c>
      <c r="AQ272" s="1008"/>
      <c r="AR272" s="18"/>
      <c r="AS272" s="18"/>
      <c r="AT272" s="18"/>
      <c r="AU272" s="18"/>
      <c r="AV272" s="100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</row>
    <row r="273" spans="1:74" s="143" customFormat="1" ht="19.2" customHeight="1" x14ac:dyDescent="0.35">
      <c r="A273" s="114" t="s">
        <v>60</v>
      </c>
      <c r="B273" s="109" t="str">
        <f t="shared" si="58"/>
        <v>2.F Product uses as substitutes for ODSkt CO2-eq</v>
      </c>
      <c r="C273" s="170" t="s">
        <v>48</v>
      </c>
      <c r="D273" s="15" t="s">
        <v>33</v>
      </c>
      <c r="E273" s="17" t="s">
        <v>137</v>
      </c>
      <c r="F273" s="172"/>
      <c r="G273" s="16" t="str">
        <f t="shared" si="57"/>
        <v>Þús. tonn CO₂-íg. | kt CO₂e</v>
      </c>
      <c r="H273" s="393"/>
      <c r="I273" s="393"/>
      <c r="J273" s="393"/>
      <c r="K273" s="393"/>
      <c r="L273" s="393"/>
      <c r="M273" s="393"/>
      <c r="N273" s="393"/>
      <c r="O273" s="393"/>
      <c r="P273" s="393"/>
      <c r="Q273" s="393"/>
      <c r="R273" s="393"/>
      <c r="S273" s="393"/>
      <c r="T273" s="393"/>
      <c r="U273" s="393"/>
      <c r="V273" s="393"/>
      <c r="W273" s="15">
        <v>57.174648942645199</v>
      </c>
      <c r="X273" s="15">
        <v>66.250268649095815</v>
      </c>
      <c r="Y273" s="15">
        <v>66.915546026360261</v>
      </c>
      <c r="Z273" s="15">
        <v>65.583171157312066</v>
      </c>
      <c r="AA273" s="15">
        <v>78.795271949020886</v>
      </c>
      <c r="AB273" s="15">
        <v>106.61470091301383</v>
      </c>
      <c r="AC273" s="15">
        <v>131.32983003906716</v>
      </c>
      <c r="AD273" s="15">
        <v>136.49856009831677</v>
      </c>
      <c r="AE273" s="15">
        <v>166.65889710933112</v>
      </c>
      <c r="AF273" s="15">
        <v>164.47325731678617</v>
      </c>
      <c r="AG273" s="15">
        <v>156.81946341166957</v>
      </c>
      <c r="AH273" s="15">
        <v>173.64328427983708</v>
      </c>
      <c r="AI273" s="15">
        <v>164.58956667253335</v>
      </c>
      <c r="AJ273" s="15">
        <v>182.47685820793833</v>
      </c>
      <c r="AK273" s="15">
        <v>194.37421436279649</v>
      </c>
      <c r="AL273" s="15">
        <v>198.14506070029921</v>
      </c>
      <c r="AM273" s="15">
        <v>162.47097960142474</v>
      </c>
      <c r="AN273" s="15">
        <v>133.24025432048776</v>
      </c>
      <c r="AO273" s="15">
        <v>124.58104370836502</v>
      </c>
      <c r="AP273" s="15">
        <v>107.78462088442339</v>
      </c>
      <c r="AQ273" s="1008"/>
      <c r="AR273" s="18"/>
      <c r="AS273" s="18"/>
      <c r="AT273" s="18"/>
      <c r="AU273" s="18"/>
      <c r="AV273" s="100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</row>
    <row r="274" spans="1:74" s="143" customFormat="1" ht="19.2" customHeight="1" x14ac:dyDescent="0.35">
      <c r="A274" s="114" t="s">
        <v>55</v>
      </c>
      <c r="B274" s="109" t="str">
        <f t="shared" si="58"/>
        <v>1.B.2.d Geothermal Energykt CO2-eq</v>
      </c>
      <c r="C274" s="170" t="s">
        <v>48</v>
      </c>
      <c r="D274" s="15" t="s">
        <v>10</v>
      </c>
      <c r="E274" s="17" t="s">
        <v>139</v>
      </c>
      <c r="F274" s="55"/>
      <c r="G274" s="16" t="str">
        <f t="shared" si="57"/>
        <v>Þús. tonn CO₂-íg. | kt CO₂e</v>
      </c>
      <c r="H274" s="393"/>
      <c r="I274" s="393"/>
      <c r="J274" s="393"/>
      <c r="K274" s="393"/>
      <c r="L274" s="393"/>
      <c r="M274" s="393"/>
      <c r="N274" s="393"/>
      <c r="O274" s="393"/>
      <c r="P274" s="393"/>
      <c r="Q274" s="393"/>
      <c r="R274" s="393"/>
      <c r="S274" s="393"/>
      <c r="T274" s="393"/>
      <c r="U274" s="393"/>
      <c r="V274" s="393"/>
      <c r="W274" s="15">
        <v>119.45647094208158</v>
      </c>
      <c r="X274" s="15">
        <v>129.48940884767728</v>
      </c>
      <c r="Y274" s="15">
        <v>150.17772395880564</v>
      </c>
      <c r="Z274" s="15">
        <v>188.79046841169912</v>
      </c>
      <c r="AA274" s="15">
        <v>172.68275584137766</v>
      </c>
      <c r="AB274" s="15">
        <v>194.76400000000001</v>
      </c>
      <c r="AC274" s="15">
        <v>183.41899999999998</v>
      </c>
      <c r="AD274" s="15">
        <v>175.10867999999999</v>
      </c>
      <c r="AE274" s="15">
        <v>176.96899999999999</v>
      </c>
      <c r="AF274" s="15">
        <v>206.04203132749296</v>
      </c>
      <c r="AG274" s="15">
        <v>172.30600096927682</v>
      </c>
      <c r="AH274" s="15">
        <v>163.0362457615802</v>
      </c>
      <c r="AI274" s="15">
        <v>151.95444102803788</v>
      </c>
      <c r="AJ274" s="15">
        <v>164.70900135548004</v>
      </c>
      <c r="AK274" s="15">
        <v>175.41761233554124</v>
      </c>
      <c r="AL274" s="15">
        <v>177.28072612428809</v>
      </c>
      <c r="AM274" s="15">
        <v>166.27076688024965</v>
      </c>
      <c r="AN274" s="15">
        <v>177.93383904423609</v>
      </c>
      <c r="AO274" s="15">
        <v>176.7547389664966</v>
      </c>
      <c r="AP274" s="15">
        <v>223.69103641446083</v>
      </c>
      <c r="AQ274" s="1008"/>
      <c r="AR274" s="18"/>
      <c r="AS274" s="18"/>
      <c r="AT274" s="18"/>
      <c r="AU274" s="18"/>
      <c r="AV274" s="100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</row>
    <row r="275" spans="1:74" s="143" customFormat="1" ht="19.2" customHeight="1" x14ac:dyDescent="0.35">
      <c r="A275" s="114" t="s">
        <v>93</v>
      </c>
      <c r="B275" s="109" t="str">
        <f t="shared" si="58"/>
        <v>Mobile Machinery</v>
      </c>
      <c r="C275" s="170" t="s">
        <v>48</v>
      </c>
      <c r="D275" s="15" t="s">
        <v>9</v>
      </c>
      <c r="E275" s="17" t="s">
        <v>140</v>
      </c>
      <c r="F275" s="55"/>
      <c r="G275" s="16" t="str">
        <f t="shared" si="57"/>
        <v>Þús. tonn CO₂-íg. | kt CO₂e</v>
      </c>
      <c r="H275" s="393"/>
      <c r="I275" s="393"/>
      <c r="J275" s="393"/>
      <c r="K275" s="393"/>
      <c r="L275" s="393"/>
      <c r="M275" s="393"/>
      <c r="N275" s="393"/>
      <c r="O275" s="393"/>
      <c r="P275" s="393"/>
      <c r="Q275" s="393"/>
      <c r="R275" s="393"/>
      <c r="S275" s="393"/>
      <c r="T275" s="393"/>
      <c r="U275" s="393"/>
      <c r="V275" s="393"/>
      <c r="W275" s="15">
        <f t="shared" ref="W275:AO275" si="59">SUM(W276:W278)</f>
        <v>236.89254361749525</v>
      </c>
      <c r="X275" s="15">
        <f t="shared" si="59"/>
        <v>214.30164332811566</v>
      </c>
      <c r="Y275" s="15">
        <f t="shared" si="59"/>
        <v>215.83366248928385</v>
      </c>
      <c r="Z275" s="15">
        <f t="shared" si="59"/>
        <v>208.96156893666625</v>
      </c>
      <c r="AA275" s="15">
        <f t="shared" si="59"/>
        <v>145.57310735873384</v>
      </c>
      <c r="AB275" s="15">
        <f t="shared" si="59"/>
        <v>116.66251837871674</v>
      </c>
      <c r="AC275" s="15">
        <f t="shared" si="59"/>
        <v>106.724173287534</v>
      </c>
      <c r="AD275" s="15">
        <f t="shared" si="59"/>
        <v>102.82225724651585</v>
      </c>
      <c r="AE275" s="15">
        <f t="shared" si="59"/>
        <v>98.852644261966944</v>
      </c>
      <c r="AF275" s="15">
        <f t="shared" si="59"/>
        <v>117.37447230447312</v>
      </c>
      <c r="AG275" s="15">
        <f t="shared" si="59"/>
        <v>116.13287890779706</v>
      </c>
      <c r="AH275" s="15">
        <f t="shared" si="59"/>
        <v>134.94854641811295</v>
      </c>
      <c r="AI275" s="15">
        <f t="shared" si="59"/>
        <v>138.05064207733511</v>
      </c>
      <c r="AJ275" s="15">
        <f t="shared" si="59"/>
        <v>109.98053877254954</v>
      </c>
      <c r="AK275" s="15">
        <f t="shared" si="59"/>
        <v>86.903419069836744</v>
      </c>
      <c r="AL275" s="15">
        <f t="shared" si="59"/>
        <v>63.052941906921838</v>
      </c>
      <c r="AM275" s="15">
        <f t="shared" si="59"/>
        <v>60.294858741596478</v>
      </c>
      <c r="AN275" s="15">
        <f t="shared" si="59"/>
        <v>59.454653923532042</v>
      </c>
      <c r="AO275" s="15">
        <f t="shared" si="59"/>
        <v>74.887888616357046</v>
      </c>
      <c r="AP275" s="15">
        <f>SUM(AP276:AP278)</f>
        <v>76.484306234264068</v>
      </c>
      <c r="AQ275" s="1008"/>
      <c r="AR275" s="18"/>
      <c r="AS275" s="18"/>
      <c r="AT275" s="18"/>
      <c r="AU275" s="18"/>
      <c r="AV275" s="100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</row>
    <row r="276" spans="1:74" s="171" customFormat="1" ht="19.2" customHeight="1" x14ac:dyDescent="0.25">
      <c r="A276" s="114" t="s">
        <v>54</v>
      </c>
      <c r="B276" s="109" t="str">
        <f t="shared" si="58"/>
        <v>1.A.2.g.vii Off road vehicles and other machinerykt CO2-eq</v>
      </c>
      <c r="C276" s="170" t="s">
        <v>48</v>
      </c>
      <c r="D276" s="58" t="s">
        <v>116</v>
      </c>
      <c r="E276" s="61" t="str">
        <f>$E$54</f>
        <v xml:space="preserve">   In Constructions</v>
      </c>
      <c r="F276" s="15"/>
      <c r="G276" s="60" t="str">
        <f t="shared" si="57"/>
        <v>Þús. tonn CO₂-íg. | kt CO₂e</v>
      </c>
      <c r="H276" s="394"/>
      <c r="I276" s="394"/>
      <c r="J276" s="394"/>
      <c r="K276" s="394"/>
      <c r="L276" s="394"/>
      <c r="M276" s="394"/>
      <c r="N276" s="394"/>
      <c r="O276" s="394"/>
      <c r="P276" s="394"/>
      <c r="Q276" s="394"/>
      <c r="R276" s="394"/>
      <c r="S276" s="394"/>
      <c r="T276" s="394"/>
      <c r="U276" s="394"/>
      <c r="V276" s="394"/>
      <c r="W276" s="58">
        <v>153.34867556426323</v>
      </c>
      <c r="X276" s="58">
        <v>155.47347068828739</v>
      </c>
      <c r="Y276" s="58">
        <v>150.22630209844354</v>
      </c>
      <c r="Z276" s="58">
        <v>151.21195603924778</v>
      </c>
      <c r="AA276" s="58">
        <v>81.563321690278016</v>
      </c>
      <c r="AB276" s="58">
        <v>58.793972395438558</v>
      </c>
      <c r="AC276" s="58">
        <v>43.323520802218695</v>
      </c>
      <c r="AD276" s="58">
        <v>38.334505025378284</v>
      </c>
      <c r="AE276" s="58">
        <v>42.266362547331113</v>
      </c>
      <c r="AF276" s="58">
        <v>50.683709063960414</v>
      </c>
      <c r="AG276" s="58">
        <v>48.856711358850148</v>
      </c>
      <c r="AH276" s="58">
        <v>75.83761095718873</v>
      </c>
      <c r="AI276" s="58">
        <v>75.263080656977706</v>
      </c>
      <c r="AJ276" s="58">
        <v>63.629045785235562</v>
      </c>
      <c r="AK276" s="58">
        <v>59.198538088775599</v>
      </c>
      <c r="AL276" s="58">
        <v>27.853814659242364</v>
      </c>
      <c r="AM276" s="58">
        <v>34.582046854338998</v>
      </c>
      <c r="AN276" s="58">
        <v>36.300129178331858</v>
      </c>
      <c r="AO276" s="58">
        <v>52.869222558500233</v>
      </c>
      <c r="AP276" s="58">
        <v>53.814387391841272</v>
      </c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</row>
    <row r="277" spans="1:74" s="171" customFormat="1" ht="19.2" customHeight="1" x14ac:dyDescent="0.25">
      <c r="A277" s="114" t="s">
        <v>87</v>
      </c>
      <c r="B277" s="109" t="str">
        <f t="shared" si="58"/>
        <v>1.A.4.c.ii Agriculture/Forestry/Fishing - Off-road vehicles and other machinerykt CO2-eq</v>
      </c>
      <c r="C277" s="173" t="s">
        <v>48</v>
      </c>
      <c r="D277" s="58" t="s">
        <v>117</v>
      </c>
      <c r="E277" s="61" t="str">
        <f>$E$55</f>
        <v xml:space="preserve">   In Agriculture</v>
      </c>
      <c r="F277" s="15"/>
      <c r="G277" s="60" t="str">
        <f t="shared" si="57"/>
        <v>Þús. tonn CO₂-íg. | kt CO₂e</v>
      </c>
      <c r="H277" s="394"/>
      <c r="I277" s="394"/>
      <c r="J277" s="394"/>
      <c r="K277" s="394"/>
      <c r="L277" s="394"/>
      <c r="M277" s="394"/>
      <c r="N277" s="394"/>
      <c r="O277" s="394"/>
      <c r="P277" s="394"/>
      <c r="Q277" s="394"/>
      <c r="R277" s="394"/>
      <c r="S277" s="394"/>
      <c r="T277" s="394"/>
      <c r="U277" s="394"/>
      <c r="V277" s="394"/>
      <c r="W277" s="58">
        <v>79.060496201469192</v>
      </c>
      <c r="X277" s="58">
        <v>54.826638957596636</v>
      </c>
      <c r="Y277" s="58">
        <v>61.177889123524778</v>
      </c>
      <c r="Z277" s="58">
        <v>51.157281912590193</v>
      </c>
      <c r="AA277" s="58">
        <v>57.876695249528723</v>
      </c>
      <c r="AB277" s="58">
        <v>51.699905832246607</v>
      </c>
      <c r="AC277" s="58">
        <v>51.500628224519339</v>
      </c>
      <c r="AD277" s="58">
        <v>62.243211966171408</v>
      </c>
      <c r="AE277" s="58">
        <v>54.429924804071504</v>
      </c>
      <c r="AF277" s="58">
        <v>64.034481280916623</v>
      </c>
      <c r="AG277" s="58">
        <v>64.579098521879345</v>
      </c>
      <c r="AH277" s="58">
        <v>56.487568259996394</v>
      </c>
      <c r="AI277" s="58">
        <v>60.061285825731495</v>
      </c>
      <c r="AJ277" s="58">
        <v>44.206970646946694</v>
      </c>
      <c r="AK277" s="58">
        <v>25.988802772860733</v>
      </c>
      <c r="AL277" s="58">
        <v>32.91334744479213</v>
      </c>
      <c r="AM277" s="58">
        <v>22.59934835452195</v>
      </c>
      <c r="AN277" s="58">
        <v>21.946797513646029</v>
      </c>
      <c r="AO277" s="58">
        <v>21.942146035012623</v>
      </c>
      <c r="AP277" s="58">
        <v>21.751104234845265</v>
      </c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</row>
    <row r="278" spans="1:74" s="372" customFormat="1" ht="19.2" customHeight="1" x14ac:dyDescent="0.45">
      <c r="A278" s="114" t="s">
        <v>86</v>
      </c>
      <c r="B278" s="109" t="str">
        <f t="shared" si="58"/>
        <v>1.A.3.e.ii Other (please specify) kt CO2-eq</v>
      </c>
      <c r="C278" s="173" t="s">
        <v>48</v>
      </c>
      <c r="D278" s="58" t="s">
        <v>118</v>
      </c>
      <c r="E278" s="61" t="str">
        <f>$E$56</f>
        <v xml:space="preserve">   Elsewhere</v>
      </c>
      <c r="F278" s="15"/>
      <c r="G278" s="60" t="str">
        <f t="shared" si="57"/>
        <v>Þús. tonn CO₂-íg. | kt CO₂e</v>
      </c>
      <c r="H278" s="394"/>
      <c r="I278" s="394"/>
      <c r="J278" s="394"/>
      <c r="K278" s="394"/>
      <c r="L278" s="394"/>
      <c r="M278" s="394"/>
      <c r="N278" s="394"/>
      <c r="O278" s="394"/>
      <c r="P278" s="394"/>
      <c r="Q278" s="394"/>
      <c r="R278" s="394"/>
      <c r="S278" s="394"/>
      <c r="T278" s="394"/>
      <c r="U278" s="394"/>
      <c r="V278" s="394"/>
      <c r="W278" s="58">
        <v>4.483371851762822</v>
      </c>
      <c r="X278" s="58">
        <v>4.0015336822316279</v>
      </c>
      <c r="Y278" s="58">
        <v>4.4294712673155363</v>
      </c>
      <c r="Z278" s="58">
        <v>6.5923309848282692</v>
      </c>
      <c r="AA278" s="58">
        <v>6.1330904189270887</v>
      </c>
      <c r="AB278" s="58">
        <v>6.1686401510315658</v>
      </c>
      <c r="AC278" s="58">
        <v>11.900024260795965</v>
      </c>
      <c r="AD278" s="58">
        <v>2.2445402549661475</v>
      </c>
      <c r="AE278" s="58">
        <v>2.1563569105643312</v>
      </c>
      <c r="AF278" s="58">
        <v>2.656281959596086</v>
      </c>
      <c r="AG278" s="58">
        <v>2.6970690270675708</v>
      </c>
      <c r="AH278" s="58">
        <v>2.623367200927845</v>
      </c>
      <c r="AI278" s="58">
        <v>2.7262755946259087</v>
      </c>
      <c r="AJ278" s="58">
        <v>2.1445223403672902</v>
      </c>
      <c r="AK278" s="58">
        <v>1.7160782082004176</v>
      </c>
      <c r="AL278" s="58">
        <v>2.2857798028873417</v>
      </c>
      <c r="AM278" s="396">
        <v>3.1134635327355329</v>
      </c>
      <c r="AN278" s="396">
        <v>1.2077272315541543</v>
      </c>
      <c r="AO278" s="396">
        <v>7.6520022844189489E-2</v>
      </c>
      <c r="AP278" s="396">
        <v>0.91881460757752842</v>
      </c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</row>
    <row r="279" spans="1:74" s="373" customFormat="1" ht="19.2" customHeight="1" x14ac:dyDescent="0.35">
      <c r="A279" s="114" t="s">
        <v>94</v>
      </c>
      <c r="B279" s="109" t="str">
        <f t="shared" si="58"/>
        <v>ESD Other</v>
      </c>
      <c r="C279" s="170"/>
      <c r="D279" s="15" t="s">
        <v>24</v>
      </c>
      <c r="E279" s="17" t="s">
        <v>189</v>
      </c>
      <c r="F279" s="15"/>
      <c r="G279" s="16" t="str">
        <f t="shared" si="57"/>
        <v>Þús. tonn CO₂-íg. | kt CO₂e</v>
      </c>
      <c r="H279" s="393"/>
      <c r="I279" s="393"/>
      <c r="J279" s="393"/>
      <c r="K279" s="393"/>
      <c r="L279" s="393"/>
      <c r="M279" s="393"/>
      <c r="N279" s="393"/>
      <c r="O279" s="393"/>
      <c r="P279" s="393"/>
      <c r="Q279" s="393"/>
      <c r="R279" s="393"/>
      <c r="S279" s="393"/>
      <c r="T279" s="393"/>
      <c r="U279" s="393"/>
      <c r="V279" s="393"/>
      <c r="W279" s="15">
        <f>W280-SUM(W269:W275)</f>
        <v>324.29588134192363</v>
      </c>
      <c r="X279" s="15">
        <f>X280-SUM(X269:X275)</f>
        <v>368.31463735275975</v>
      </c>
      <c r="Y279" s="15">
        <f t="shared" ref="Y279:AO279" si="60">Y280-SUM(Y269:Y275)</f>
        <v>376.00275705682725</v>
      </c>
      <c r="Z279" s="15">
        <f t="shared" si="60"/>
        <v>321.65605150057308</v>
      </c>
      <c r="AA279" s="15">
        <f t="shared" si="60"/>
        <v>220.29756250749551</v>
      </c>
      <c r="AB279" s="15">
        <f t="shared" si="60"/>
        <v>183.20620657998325</v>
      </c>
      <c r="AC279" s="15">
        <f t="shared" si="60"/>
        <v>180.7858789556376</v>
      </c>
      <c r="AD279" s="15">
        <f t="shared" si="60"/>
        <v>145.29437301097369</v>
      </c>
      <c r="AE279" s="15">
        <f t="shared" si="60"/>
        <v>136.58897682497945</v>
      </c>
      <c r="AF279" s="15">
        <f t="shared" si="60"/>
        <v>109.79450998677021</v>
      </c>
      <c r="AG279" s="15">
        <f t="shared" si="60"/>
        <v>138.8913362855842</v>
      </c>
      <c r="AH279" s="15">
        <f t="shared" si="60"/>
        <v>126.37438166775064</v>
      </c>
      <c r="AI279" s="15">
        <f t="shared" si="60"/>
        <v>86.100000450192056</v>
      </c>
      <c r="AJ279" s="15">
        <f t="shared" si="60"/>
        <v>128.4144543630473</v>
      </c>
      <c r="AK279" s="15">
        <f t="shared" si="60"/>
        <v>131.20032217862354</v>
      </c>
      <c r="AL279" s="15">
        <f t="shared" si="60"/>
        <v>107.26621064157325</v>
      </c>
      <c r="AM279" s="15">
        <f t="shared" si="60"/>
        <v>110.35625347580572</v>
      </c>
      <c r="AN279" s="15">
        <f t="shared" si="60"/>
        <v>178.39348187497581</v>
      </c>
      <c r="AO279" s="15">
        <f t="shared" si="60"/>
        <v>134.66002359806998</v>
      </c>
      <c r="AP279" s="15">
        <f>AP280-SUM(AP269:AP275)</f>
        <v>165.40197900591784</v>
      </c>
      <c r="AQ279" s="1008"/>
      <c r="AR279" s="18"/>
      <c r="AS279" s="18"/>
      <c r="AT279" s="18"/>
      <c r="AU279" s="18"/>
      <c r="AV279" s="100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</row>
    <row r="280" spans="1:74" s="136" customFormat="1" ht="19.2" customHeight="1" x14ac:dyDescent="0.4">
      <c r="A280" s="114" t="s">
        <v>218</v>
      </c>
      <c r="B280" s="109" t="str">
        <f t="shared" si="58"/>
        <v>ESR Emissionskt CO2eq</v>
      </c>
      <c r="C280" s="174" t="s">
        <v>48</v>
      </c>
      <c r="D280" s="22" t="s">
        <v>135</v>
      </c>
      <c r="E280" s="22"/>
      <c r="F280" s="22"/>
      <c r="G280" s="23" t="str">
        <f t="shared" si="57"/>
        <v>Þús. tonn CO₂-íg. | kt CO₂e</v>
      </c>
      <c r="H280" s="395"/>
      <c r="I280" s="395"/>
      <c r="J280" s="395"/>
      <c r="K280" s="395"/>
      <c r="L280" s="395"/>
      <c r="M280" s="395"/>
      <c r="N280" s="395"/>
      <c r="O280" s="395"/>
      <c r="P280" s="395"/>
      <c r="Q280" s="395"/>
      <c r="R280" s="395"/>
      <c r="S280" s="395"/>
      <c r="T280" s="395"/>
      <c r="U280" s="395"/>
      <c r="V280" s="395"/>
      <c r="W280" s="22">
        <v>3215.3194987491565</v>
      </c>
      <c r="X280" s="22">
        <v>3349.4916066086043</v>
      </c>
      <c r="Y280" s="22">
        <v>3520.3184559504753</v>
      </c>
      <c r="Z280" s="22">
        <v>3381.1708078111669</v>
      </c>
      <c r="AA280" s="22">
        <v>3249.5826331483845</v>
      </c>
      <c r="AB280" s="22">
        <v>3136.0234220364318</v>
      </c>
      <c r="AC280" s="22">
        <v>3027.5304369929186</v>
      </c>
      <c r="AD280" s="22">
        <v>2946.0997525225566</v>
      </c>
      <c r="AE280" s="22">
        <v>2936.1787410097063</v>
      </c>
      <c r="AF280" s="22">
        <v>2984.7806522342785</v>
      </c>
      <c r="AG280" s="22">
        <v>2997.5166061632099</v>
      </c>
      <c r="AH280" s="22">
        <v>2981.1433650467634</v>
      </c>
      <c r="AI280" s="22">
        <v>2985.1096624077804</v>
      </c>
      <c r="AJ280" s="22">
        <v>3052.1748188360802</v>
      </c>
      <c r="AK280" s="22">
        <v>2965.5016795431115</v>
      </c>
      <c r="AL280" s="22">
        <v>2814.4135953126129</v>
      </c>
      <c r="AM280" s="22">
        <v>2868.012882928047</v>
      </c>
      <c r="AN280" s="22">
        <v>2876.6182292842418</v>
      </c>
      <c r="AO280" s="22">
        <v>2808.7204424546412</v>
      </c>
      <c r="AP280" s="22">
        <v>2863.863170674153</v>
      </c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</row>
    <row r="281" spans="1:74" s="404" customFormat="1" ht="19.2" customHeight="1" x14ac:dyDescent="0.35">
      <c r="A281" s="385" t="s">
        <v>352</v>
      </c>
      <c r="B281" s="254"/>
      <c r="C281" s="403"/>
      <c r="D281" s="347" t="s">
        <v>386</v>
      </c>
      <c r="E281" s="347"/>
      <c r="F281" s="347"/>
      <c r="G281" s="403"/>
      <c r="H281" s="403"/>
      <c r="I281" s="403"/>
      <c r="J281" s="403"/>
      <c r="K281" s="403"/>
      <c r="L281" s="403"/>
      <c r="M281" s="403"/>
      <c r="N281" s="403"/>
      <c r="O281" s="403"/>
      <c r="P281" s="403"/>
      <c r="Q281" s="403"/>
      <c r="R281" s="403"/>
      <c r="S281" s="403"/>
      <c r="T281" s="403"/>
      <c r="U281" s="403"/>
      <c r="V281" s="403"/>
      <c r="W281" s="347">
        <f>W280-W269-W270-W271-W272</f>
        <v>737.81954484414587</v>
      </c>
      <c r="X281" s="347">
        <f t="shared" ref="X281:AO281" si="61">X280-X269-X270-X271-X272</f>
        <v>778.35595817764806</v>
      </c>
      <c r="Y281" s="347">
        <f t="shared" si="61"/>
        <v>808.92968953127706</v>
      </c>
      <c r="Z281" s="347">
        <f t="shared" si="61"/>
        <v>784.99126000625063</v>
      </c>
      <c r="AA281" s="347">
        <f t="shared" si="61"/>
        <v>617.34869765662779</v>
      </c>
      <c r="AB281" s="347">
        <f t="shared" si="61"/>
        <v>601.24742587171386</v>
      </c>
      <c r="AC281" s="347">
        <f t="shared" si="61"/>
        <v>602.2588822822388</v>
      </c>
      <c r="AD281" s="347">
        <f t="shared" si="61"/>
        <v>559.72387035580596</v>
      </c>
      <c r="AE281" s="347">
        <f t="shared" si="61"/>
        <v>579.06951819627739</v>
      </c>
      <c r="AF281" s="347">
        <f t="shared" si="61"/>
        <v>597.68427093552282</v>
      </c>
      <c r="AG281" s="347">
        <f t="shared" si="61"/>
        <v>584.14967957432725</v>
      </c>
      <c r="AH281" s="347">
        <f t="shared" si="61"/>
        <v>598.00245812728133</v>
      </c>
      <c r="AI281" s="347">
        <f t="shared" si="61"/>
        <v>540.69465022809766</v>
      </c>
      <c r="AJ281" s="347">
        <f t="shared" si="61"/>
        <v>585.58085269901528</v>
      </c>
      <c r="AK281" s="347">
        <f t="shared" si="61"/>
        <v>587.89556794679822</v>
      </c>
      <c r="AL281" s="347">
        <f t="shared" si="61"/>
        <v>545.74493937308239</v>
      </c>
      <c r="AM281" s="347">
        <f t="shared" si="61"/>
        <v>499.39285869907667</v>
      </c>
      <c r="AN281" s="347">
        <f t="shared" si="61"/>
        <v>549.02222916323217</v>
      </c>
      <c r="AO281" s="347">
        <f t="shared" si="61"/>
        <v>510.88369488928851</v>
      </c>
      <c r="AP281" s="347">
        <f>AP280-AP269-AP270-AP271-AP272</f>
        <v>573.36194253906569</v>
      </c>
      <c r="AQ281" s="384"/>
      <c r="AR281" s="384"/>
      <c r="AS281" s="384"/>
      <c r="AT281" s="384"/>
      <c r="AU281" s="384"/>
      <c r="AV281" s="384"/>
      <c r="AW281" s="384"/>
      <c r="AX281" s="384"/>
      <c r="AY281" s="384"/>
      <c r="AZ281" s="384"/>
      <c r="BA281" s="384"/>
      <c r="BB281" s="384"/>
      <c r="BC281" s="384"/>
      <c r="BD281" s="384"/>
      <c r="BE281" s="384"/>
      <c r="BF281" s="384"/>
      <c r="BG281" s="384"/>
      <c r="BH281" s="384"/>
      <c r="BI281" s="384"/>
      <c r="BJ281" s="384"/>
      <c r="BK281" s="384"/>
      <c r="BL281" s="384"/>
      <c r="BM281" s="384"/>
      <c r="BN281" s="384"/>
      <c r="BO281" s="384"/>
      <c r="BP281" s="384"/>
      <c r="BQ281" s="384"/>
      <c r="BR281" s="384"/>
      <c r="BS281" s="384"/>
      <c r="BT281" s="384"/>
      <c r="BU281" s="384"/>
    </row>
    <row r="282" spans="1:74" s="141" customFormat="1" ht="36" customHeight="1" x14ac:dyDescent="0.4">
      <c r="A282" s="108"/>
      <c r="B282" s="109" t="s">
        <v>48</v>
      </c>
      <c r="C282" s="5"/>
      <c r="D282" s="1024" t="s">
        <v>445</v>
      </c>
      <c r="E282" s="1024" t="s">
        <v>446</v>
      </c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9"/>
      <c r="AO282" s="1003"/>
      <c r="AP282" s="1002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</row>
    <row r="283" spans="1:74" s="372" customFormat="1" ht="19.2" customHeight="1" x14ac:dyDescent="0.45">
      <c r="A283" s="354" t="s">
        <v>51</v>
      </c>
      <c r="B283" s="354" t="str">
        <f>A283&amp;" WEM"</f>
        <v>1.A.3.b Road transportationkt CO2-eq WEM</v>
      </c>
      <c r="C283" s="170" t="s">
        <v>48</v>
      </c>
      <c r="D283" s="15" t="s">
        <v>6</v>
      </c>
      <c r="E283" s="17" t="str">
        <f>$E$50</f>
        <v>Road Transport</v>
      </c>
      <c r="F283" s="55"/>
      <c r="G283" s="16" t="str">
        <f t="shared" ref="G283:G294" si="62">$G$5</f>
        <v>Þús. tonn CO₂-íg. | kt CO₂e</v>
      </c>
      <c r="H283" s="393"/>
      <c r="I283" s="393"/>
      <c r="J283" s="393"/>
      <c r="K283" s="393"/>
      <c r="L283" s="393"/>
      <c r="M283" s="393"/>
      <c r="N283" s="393"/>
      <c r="O283" s="393"/>
      <c r="P283" s="393"/>
      <c r="Q283" s="393"/>
      <c r="R283" s="393"/>
      <c r="S283" s="393"/>
      <c r="T283" s="393"/>
      <c r="U283" s="393"/>
      <c r="V283" s="393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352"/>
      <c r="AP283" s="352">
        <f t="shared" ref="AP283:AP295" si="63">AP269</f>
        <v>898.35428884904547</v>
      </c>
      <c r="AQ283" s="15">
        <v>890.46327354796597</v>
      </c>
      <c r="AR283" s="15">
        <v>884.44372522758908</v>
      </c>
      <c r="AS283" s="15">
        <v>873.44981959967708</v>
      </c>
      <c r="AT283" s="15">
        <v>858.10750838512058</v>
      </c>
      <c r="AU283" s="15">
        <v>837.78204247471706</v>
      </c>
      <c r="AV283" s="15">
        <v>812.33946562374695</v>
      </c>
      <c r="AW283" s="15">
        <v>784.70167006315717</v>
      </c>
      <c r="AX283" s="15">
        <v>753.27959906463832</v>
      </c>
      <c r="AY283" s="15">
        <v>718.28527026754273</v>
      </c>
      <c r="AZ283" s="15">
        <v>680.06421443772138</v>
      </c>
      <c r="BA283" s="15">
        <v>623.00154202384101</v>
      </c>
      <c r="BB283" s="15">
        <v>566.44282089182093</v>
      </c>
      <c r="BC283" s="15">
        <v>510.84284663883045</v>
      </c>
      <c r="BD283" s="15">
        <v>462.14978131238462</v>
      </c>
      <c r="BE283" s="15">
        <v>415.56625417879866</v>
      </c>
      <c r="BF283" s="15">
        <v>369.88900567515753</v>
      </c>
      <c r="BG283" s="15">
        <v>327.40652035720001</v>
      </c>
      <c r="BH283" s="15">
        <v>285.8400022961809</v>
      </c>
      <c r="BI283" s="15">
        <v>245.41239536528221</v>
      </c>
      <c r="BJ283" s="15">
        <v>206.33177726918419</v>
      </c>
      <c r="BK283" s="15">
        <v>168.98130647673543</v>
      </c>
      <c r="BL283" s="15">
        <v>136.96749777773857</v>
      </c>
      <c r="BM283" s="15">
        <v>107.57023277276032</v>
      </c>
      <c r="BN283" s="15">
        <v>82.841363081975274</v>
      </c>
      <c r="BO283" s="15">
        <v>61.333286269903063</v>
      </c>
      <c r="BP283" s="15">
        <v>46.877218310270635</v>
      </c>
      <c r="BQ283" s="177">
        <v>36.03612984911117</v>
      </c>
      <c r="BR283" s="177">
        <v>27.140340896891217</v>
      </c>
      <c r="BS283" s="177">
        <v>19.489578881622432</v>
      </c>
      <c r="BT283" s="177">
        <v>13.779301255699499</v>
      </c>
      <c r="BU283" s="177">
        <v>9.8731999670806854</v>
      </c>
      <c r="BV283" s="405"/>
    </row>
    <row r="284" spans="1:74" s="143" customFormat="1" ht="19.2" customHeight="1" x14ac:dyDescent="0.4">
      <c r="A284" s="114" t="s">
        <v>50</v>
      </c>
      <c r="B284" s="354" t="str">
        <f t="shared" ref="B284:B293" si="64">A284&amp;" WEM"</f>
        <v>1.A.4.c.iii Agriculture/Forestry/Fishing - Fishing kt CO2-eq WEM</v>
      </c>
      <c r="C284" s="170" t="s">
        <v>48</v>
      </c>
      <c r="D284" s="15" t="s">
        <v>5</v>
      </c>
      <c r="E284" s="17" t="str">
        <f>$E$49</f>
        <v>Fishing</v>
      </c>
      <c r="F284" s="55"/>
      <c r="G284" s="16" t="str">
        <f t="shared" si="62"/>
        <v>Þús. tonn CO₂-íg. | kt CO₂e</v>
      </c>
      <c r="H284" s="393"/>
      <c r="I284" s="393"/>
      <c r="J284" s="393"/>
      <c r="K284" s="393"/>
      <c r="L284" s="393"/>
      <c r="M284" s="393"/>
      <c r="N284" s="393"/>
      <c r="O284" s="393"/>
      <c r="P284" s="393"/>
      <c r="Q284" s="393"/>
      <c r="R284" s="393"/>
      <c r="S284" s="393"/>
      <c r="T284" s="393"/>
      <c r="U284" s="393"/>
      <c r="V284" s="393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352"/>
      <c r="AP284" s="352">
        <f t="shared" si="63"/>
        <v>519.47716734952905</v>
      </c>
      <c r="AQ284" s="15">
        <v>463.34906694185872</v>
      </c>
      <c r="AR284" s="15">
        <v>444.36767918026391</v>
      </c>
      <c r="AS284" s="15">
        <v>431.28981683150755</v>
      </c>
      <c r="AT284" s="15">
        <v>423.73641142171283</v>
      </c>
      <c r="AU284" s="15">
        <v>427.86577209206132</v>
      </c>
      <c r="AV284" s="15">
        <v>423.58726972707274</v>
      </c>
      <c r="AW284" s="15">
        <v>416.20412468363065</v>
      </c>
      <c r="AX284" s="15">
        <v>413.27302703445309</v>
      </c>
      <c r="AY284" s="15">
        <v>407.21519131072057</v>
      </c>
      <c r="AZ284" s="15">
        <v>397.86926384390495</v>
      </c>
      <c r="BA284" s="15">
        <v>385.49035532833642</v>
      </c>
      <c r="BB284" s="15">
        <v>370.03238984004793</v>
      </c>
      <c r="BC284" s="15">
        <v>351.13246187983253</v>
      </c>
      <c r="BD284" s="15">
        <v>328.35620140394246</v>
      </c>
      <c r="BE284" s="15">
        <v>301.83473138830249</v>
      </c>
      <c r="BF284" s="15">
        <v>272.13728274907282</v>
      </c>
      <c r="BG284" s="15">
        <v>240.60470456148562</v>
      </c>
      <c r="BH284" s="15">
        <v>219.2030651354367</v>
      </c>
      <c r="BI284" s="15">
        <v>200.82817444507441</v>
      </c>
      <c r="BJ284" s="15">
        <v>192.36552901136858</v>
      </c>
      <c r="BK284" s="15">
        <v>180.80180455838149</v>
      </c>
      <c r="BL284" s="15">
        <v>168.76373025617349</v>
      </c>
      <c r="BM284" s="15">
        <v>156.10655908863993</v>
      </c>
      <c r="BN284" s="15">
        <v>142.65967104416202</v>
      </c>
      <c r="BO284" s="15">
        <v>128.93993113114908</v>
      </c>
      <c r="BP284" s="15">
        <v>115.03316562679571</v>
      </c>
      <c r="BQ284" s="15">
        <v>101.32620395080562</v>
      </c>
      <c r="BR284" s="15">
        <v>87.921701179475249</v>
      </c>
      <c r="BS284" s="15">
        <v>75.135982296504508</v>
      </c>
      <c r="BT284" s="15">
        <v>63.071018254403626</v>
      </c>
      <c r="BU284" s="15">
        <v>51.931812227441057</v>
      </c>
      <c r="BV284" s="405"/>
    </row>
    <row r="285" spans="1:74" s="143" customFormat="1" ht="19.2" customHeight="1" x14ac:dyDescent="0.4">
      <c r="A285" s="114" t="s">
        <v>44</v>
      </c>
      <c r="B285" s="354" t="str">
        <f t="shared" si="64"/>
        <v>3. Agriculturekt CO2-eq WEM</v>
      </c>
      <c r="C285" s="170" t="s">
        <v>48</v>
      </c>
      <c r="D285" s="15" t="s">
        <v>2</v>
      </c>
      <c r="E285" s="17" t="s">
        <v>126</v>
      </c>
      <c r="F285" s="172"/>
      <c r="G285" s="16" t="str">
        <f t="shared" si="62"/>
        <v>Þús. tonn CO₂-íg. | kt CO₂e</v>
      </c>
      <c r="H285" s="393"/>
      <c r="I285" s="393"/>
      <c r="J285" s="393"/>
      <c r="K285" s="393"/>
      <c r="L285" s="393"/>
      <c r="M285" s="393"/>
      <c r="N285" s="393"/>
      <c r="O285" s="393"/>
      <c r="P285" s="393"/>
      <c r="Q285" s="393"/>
      <c r="R285" s="393"/>
      <c r="S285" s="393"/>
      <c r="T285" s="393"/>
      <c r="U285" s="393"/>
      <c r="V285" s="393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352"/>
      <c r="AP285" s="352">
        <f t="shared" si="63"/>
        <v>669.59914464131464</v>
      </c>
      <c r="AQ285" s="15">
        <v>673.08179574460871</v>
      </c>
      <c r="AR285" s="15">
        <v>673.41835300016351</v>
      </c>
      <c r="AS285" s="15">
        <v>673.19623770214559</v>
      </c>
      <c r="AT285" s="15">
        <v>672.87568068080157</v>
      </c>
      <c r="AU285" s="15">
        <v>671.48769930953154</v>
      </c>
      <c r="AV285" s="15">
        <v>670.14649749100101</v>
      </c>
      <c r="AW285" s="15">
        <v>668.76790307461727</v>
      </c>
      <c r="AX285" s="15">
        <v>667.44268629937437</v>
      </c>
      <c r="AY285" s="15">
        <v>666.04203933505767</v>
      </c>
      <c r="AZ285" s="15">
        <v>664.69071903405177</v>
      </c>
      <c r="BA285" s="15">
        <v>663.28409003970592</v>
      </c>
      <c r="BB285" s="15">
        <v>661.92444014565592</v>
      </c>
      <c r="BC285" s="15">
        <v>660.49511607331897</v>
      </c>
      <c r="BD285" s="15">
        <v>659.11814530760034</v>
      </c>
      <c r="BE285" s="15">
        <v>657.672446781899</v>
      </c>
      <c r="BF285" s="15">
        <v>656.28103813414009</v>
      </c>
      <c r="BG285" s="15">
        <v>654.82138713748839</v>
      </c>
      <c r="BH285" s="15">
        <v>653.41491695120055</v>
      </c>
      <c r="BI285" s="15">
        <v>651.93956908437315</v>
      </c>
      <c r="BJ285" s="15">
        <v>650.51732278427949</v>
      </c>
      <c r="BK285" s="15">
        <v>649.02627346151337</v>
      </c>
      <c r="BL285" s="15">
        <v>647.58846727680464</v>
      </c>
      <c r="BM285" s="15">
        <v>646.08160134166076</v>
      </c>
      <c r="BN285" s="15">
        <v>644.62788975339924</v>
      </c>
      <c r="BO285" s="15">
        <v>643.10513697191652</v>
      </c>
      <c r="BP285" s="15">
        <v>641.63549462025765</v>
      </c>
      <c r="BQ285" s="15">
        <v>640.09671663070799</v>
      </c>
      <c r="BR285" s="15">
        <v>638.6109621117065</v>
      </c>
      <c r="BS285" s="15">
        <v>637.05601846351271</v>
      </c>
      <c r="BT285" s="15">
        <v>635.55405162020065</v>
      </c>
      <c r="BU285" s="15">
        <v>633.98283589374171</v>
      </c>
      <c r="BV285" s="405"/>
    </row>
    <row r="286" spans="1:74" s="143" customFormat="1" ht="19.2" customHeight="1" x14ac:dyDescent="0.4">
      <c r="A286" s="114" t="s">
        <v>76</v>
      </c>
      <c r="B286" s="354" t="str">
        <f t="shared" si="64"/>
        <v>5.A Solid waste disposalkt CO2-eq WEM</v>
      </c>
      <c r="C286" s="170" t="s">
        <v>48</v>
      </c>
      <c r="D286" s="15" t="s">
        <v>25</v>
      </c>
      <c r="E286" s="17" t="s">
        <v>141</v>
      </c>
      <c r="F286" s="172"/>
      <c r="G286" s="16" t="str">
        <f t="shared" si="62"/>
        <v>Þús. tonn CO₂-íg. | kt CO₂e</v>
      </c>
      <c r="H286" s="393"/>
      <c r="I286" s="393"/>
      <c r="J286" s="393"/>
      <c r="K286" s="393"/>
      <c r="L286" s="393"/>
      <c r="M286" s="393"/>
      <c r="N286" s="393"/>
      <c r="O286" s="393"/>
      <c r="P286" s="393"/>
      <c r="Q286" s="393"/>
      <c r="R286" s="393"/>
      <c r="S286" s="393"/>
      <c r="T286" s="393"/>
      <c r="U286" s="393"/>
      <c r="V286" s="393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352"/>
      <c r="AP286" s="352">
        <f t="shared" si="63"/>
        <v>203.07062729519799</v>
      </c>
      <c r="AQ286" s="15">
        <v>178.79107951336425</v>
      </c>
      <c r="AR286" s="15">
        <v>159.81300051699296</v>
      </c>
      <c r="AS286" s="15">
        <v>144.98238063804763</v>
      </c>
      <c r="AT286" s="15">
        <v>134.49042188831581</v>
      </c>
      <c r="AU286" s="15">
        <v>127.48817032659397</v>
      </c>
      <c r="AV286" s="15">
        <v>120.85159868610157</v>
      </c>
      <c r="AW286" s="15">
        <v>112.05789132782155</v>
      </c>
      <c r="AX286" s="15">
        <v>105.85914744231248</v>
      </c>
      <c r="AY286" s="15">
        <v>100.56944105960585</v>
      </c>
      <c r="AZ286" s="15">
        <v>96.090677732388286</v>
      </c>
      <c r="BA286" s="15">
        <v>90.464564398576357</v>
      </c>
      <c r="BB286" s="15">
        <v>83.986919572186281</v>
      </c>
      <c r="BC286" s="15">
        <v>78.084648440059851</v>
      </c>
      <c r="BD286" s="15">
        <v>72.6975340762652</v>
      </c>
      <c r="BE286" s="15">
        <v>67.772534606892805</v>
      </c>
      <c r="BF286" s="15">
        <v>63.262842571706415</v>
      </c>
      <c r="BG286" s="15">
        <v>59.127076318197325</v>
      </c>
      <c r="BH286" s="15">
        <v>55.328583954464186</v>
      </c>
      <c r="BI286" s="15">
        <v>51.834843366728308</v>
      </c>
      <c r="BJ286" s="15">
        <v>48.616944318220511</v>
      </c>
      <c r="BK286" s="15">
        <v>45.649140763806258</v>
      </c>
      <c r="BL286" s="15">
        <v>42.908463301973242</v>
      </c>
      <c r="BM286" s="15">
        <v>40.374383195392319</v>
      </c>
      <c r="BN286" s="15">
        <v>38.028520667329616</v>
      </c>
      <c r="BO286" s="15">
        <v>35.854391260746922</v>
      </c>
      <c r="BP286" s="15">
        <v>33.837184961017314</v>
      </c>
      <c r="BQ286" s="15">
        <v>31.963573557845066</v>
      </c>
      <c r="BR286" s="15">
        <v>30.221542379074155</v>
      </c>
      <c r="BS286" s="15">
        <v>28.600243086960653</v>
      </c>
      <c r="BT286" s="15">
        <v>27.08986470160194</v>
      </c>
      <c r="BU286" s="15">
        <v>25.681520419535062</v>
      </c>
      <c r="BV286" s="405"/>
    </row>
    <row r="287" spans="1:74" s="143" customFormat="1" ht="19.2" customHeight="1" x14ac:dyDescent="0.4">
      <c r="A287" s="114" t="s">
        <v>60</v>
      </c>
      <c r="B287" s="354" t="str">
        <f t="shared" si="64"/>
        <v>2.F Product uses as substitutes for ODSkt CO2-eq WEM</v>
      </c>
      <c r="C287" s="170" t="s">
        <v>48</v>
      </c>
      <c r="D287" s="15" t="s">
        <v>33</v>
      </c>
      <c r="E287" s="17" t="s">
        <v>137</v>
      </c>
      <c r="F287" s="172"/>
      <c r="G287" s="16" t="str">
        <f t="shared" si="62"/>
        <v>Þús. tonn CO₂-íg. | kt CO₂e</v>
      </c>
      <c r="H287" s="393"/>
      <c r="I287" s="393"/>
      <c r="J287" s="393"/>
      <c r="K287" s="393"/>
      <c r="L287" s="393"/>
      <c r="M287" s="393"/>
      <c r="N287" s="393"/>
      <c r="O287" s="393"/>
      <c r="P287" s="393"/>
      <c r="Q287" s="393"/>
      <c r="R287" s="393"/>
      <c r="S287" s="393"/>
      <c r="T287" s="393"/>
      <c r="U287" s="393"/>
      <c r="V287" s="393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352"/>
      <c r="AP287" s="352">
        <f t="shared" si="63"/>
        <v>107.78462088442339</v>
      </c>
      <c r="AQ287" s="15">
        <v>105.72187170220855</v>
      </c>
      <c r="AR287" s="15">
        <v>83.823690084904044</v>
      </c>
      <c r="AS287" s="15">
        <v>89.442091059791849</v>
      </c>
      <c r="AT287" s="15">
        <v>43.518935760946661</v>
      </c>
      <c r="AU287" s="15">
        <v>28.783740596521415</v>
      </c>
      <c r="AV287" s="15">
        <v>35.288143061420499</v>
      </c>
      <c r="AW287" s="15">
        <v>17.53591620382366</v>
      </c>
      <c r="AX287" s="15">
        <v>18.352437165829741</v>
      </c>
      <c r="AY287" s="15">
        <v>25.087127810230314</v>
      </c>
      <c r="AZ287" s="15">
        <v>14.704833954835724</v>
      </c>
      <c r="BA287" s="15">
        <v>9.3934027406685683</v>
      </c>
      <c r="BB287" s="15">
        <v>9.9895174804926654</v>
      </c>
      <c r="BC287" s="15">
        <v>10.358330959147878</v>
      </c>
      <c r="BD287" s="15">
        <v>10.25895007901676</v>
      </c>
      <c r="BE287" s="15">
        <v>10.660310913905738</v>
      </c>
      <c r="BF287" s="15">
        <v>10.993776002891989</v>
      </c>
      <c r="BG287" s="15">
        <v>11.563570640339021</v>
      </c>
      <c r="BH287" s="15">
        <v>11.640349097474523</v>
      </c>
      <c r="BI287" s="15">
        <v>11.70012970754571</v>
      </c>
      <c r="BJ287" s="15">
        <v>11.753187736759976</v>
      </c>
      <c r="BK287" s="15">
        <v>11.800243616819975</v>
      </c>
      <c r="BL287" s="15">
        <v>11.940971953978671</v>
      </c>
      <c r="BM287" s="15">
        <v>12.240845835968981</v>
      </c>
      <c r="BN287" s="15">
        <v>11.986792162915226</v>
      </c>
      <c r="BO287" s="15">
        <v>11.867739498494641</v>
      </c>
      <c r="BP287" s="15">
        <v>11.859076026944861</v>
      </c>
      <c r="BQ287" s="15">
        <v>11.689526803657612</v>
      </c>
      <c r="BR287" s="15">
        <v>11.544615909658173</v>
      </c>
      <c r="BS287" s="15">
        <v>11.444189380191771</v>
      </c>
      <c r="BT287" s="15">
        <v>11.399306843005277</v>
      </c>
      <c r="BU287" s="15">
        <v>11.395571652176223</v>
      </c>
      <c r="BV287" s="405"/>
    </row>
    <row r="288" spans="1:74" s="143" customFormat="1" ht="19.2" customHeight="1" x14ac:dyDescent="0.4">
      <c r="A288" s="114" t="s">
        <v>55</v>
      </c>
      <c r="B288" s="354" t="str">
        <f t="shared" si="64"/>
        <v>1.B.2.d Geothermal Energykt CO2-eq WEM</v>
      </c>
      <c r="C288" s="170" t="s">
        <v>48</v>
      </c>
      <c r="D288" s="15" t="s">
        <v>10</v>
      </c>
      <c r="E288" s="17" t="s">
        <v>139</v>
      </c>
      <c r="F288" s="55"/>
      <c r="G288" s="16" t="str">
        <f t="shared" si="62"/>
        <v>Þús. tonn CO₂-íg. | kt CO₂e</v>
      </c>
      <c r="H288" s="393"/>
      <c r="I288" s="393"/>
      <c r="J288" s="393"/>
      <c r="K288" s="393"/>
      <c r="L288" s="393"/>
      <c r="M288" s="393"/>
      <c r="N288" s="393"/>
      <c r="O288" s="393"/>
      <c r="P288" s="393"/>
      <c r="Q288" s="393"/>
      <c r="R288" s="393"/>
      <c r="S288" s="393"/>
      <c r="T288" s="393"/>
      <c r="U288" s="393"/>
      <c r="V288" s="393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352"/>
      <c r="AP288" s="352">
        <f t="shared" si="63"/>
        <v>223.69103641446083</v>
      </c>
      <c r="AQ288" s="15">
        <v>161.90923786466362</v>
      </c>
      <c r="AR288" s="15">
        <v>149.35848944804636</v>
      </c>
      <c r="AS288" s="15">
        <v>149.38516559080051</v>
      </c>
      <c r="AT288" s="15">
        <v>149.37895541529147</v>
      </c>
      <c r="AU288" s="15">
        <v>149.37420348471278</v>
      </c>
      <c r="AV288" s="15">
        <v>136.58084149693491</v>
      </c>
      <c r="AW288" s="15">
        <v>136.5789334656464</v>
      </c>
      <c r="AX288" s="15">
        <v>136.57845948243136</v>
      </c>
      <c r="AY288" s="15">
        <v>136.57941148167083</v>
      </c>
      <c r="AZ288" s="15">
        <v>136.57893480991618</v>
      </c>
      <c r="BA288" s="15">
        <v>136.57893525800614</v>
      </c>
      <c r="BB288" s="15">
        <v>136.57909384986442</v>
      </c>
      <c r="BC288" s="15">
        <v>136.5789879725956</v>
      </c>
      <c r="BD288" s="15">
        <v>136.57900569348868</v>
      </c>
      <c r="BE288" s="15">
        <v>136.57902917198288</v>
      </c>
      <c r="BF288" s="15">
        <v>136.57900761268905</v>
      </c>
      <c r="BG288" s="15">
        <v>136.57901415938687</v>
      </c>
      <c r="BH288" s="15">
        <v>136.57901698135294</v>
      </c>
      <c r="BI288" s="15">
        <v>136.57901291780962</v>
      </c>
      <c r="BJ288" s="15">
        <v>136.57901468618314</v>
      </c>
      <c r="BK288" s="15">
        <v>136.5790148617819</v>
      </c>
      <c r="BL288" s="15">
        <v>136.57901415525822</v>
      </c>
      <c r="BM288" s="15">
        <v>136.57901456774113</v>
      </c>
      <c r="BN288" s="15">
        <v>136.57901452826042</v>
      </c>
      <c r="BO288" s="15">
        <v>136.57901441708657</v>
      </c>
      <c r="BP288" s="15">
        <v>136.5790145043627</v>
      </c>
      <c r="BQ288" s="15">
        <v>136.57901448323656</v>
      </c>
      <c r="BR288" s="15">
        <v>136.57901446822859</v>
      </c>
      <c r="BS288" s="15">
        <v>136.57901448527593</v>
      </c>
      <c r="BT288" s="15">
        <v>136.57901447891368</v>
      </c>
      <c r="BU288" s="15">
        <v>136.57901447747275</v>
      </c>
      <c r="BV288" s="405"/>
    </row>
    <row r="289" spans="1:74" s="143" customFormat="1" ht="19.2" customHeight="1" x14ac:dyDescent="0.4">
      <c r="A289" s="114" t="s">
        <v>93</v>
      </c>
      <c r="B289" s="354" t="str">
        <f t="shared" si="64"/>
        <v>Mobile Machinery WEM</v>
      </c>
      <c r="C289" s="170" t="s">
        <v>48</v>
      </c>
      <c r="D289" s="15" t="s">
        <v>9</v>
      </c>
      <c r="E289" s="17" t="s">
        <v>140</v>
      </c>
      <c r="F289" s="55" t="s">
        <v>48</v>
      </c>
      <c r="G289" s="16" t="str">
        <f t="shared" si="62"/>
        <v>Þús. tonn CO₂-íg. | kt CO₂e</v>
      </c>
      <c r="H289" s="393"/>
      <c r="I289" s="393"/>
      <c r="J289" s="393"/>
      <c r="K289" s="393"/>
      <c r="L289" s="393"/>
      <c r="M289" s="393"/>
      <c r="N289" s="393"/>
      <c r="O289" s="393"/>
      <c r="P289" s="393"/>
      <c r="Q289" s="393"/>
      <c r="R289" s="393"/>
      <c r="S289" s="393"/>
      <c r="T289" s="393"/>
      <c r="U289" s="393"/>
      <c r="V289" s="393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352"/>
      <c r="AP289" s="352">
        <f t="shared" si="63"/>
        <v>76.484306234264068</v>
      </c>
      <c r="AQ289" s="15">
        <f t="shared" ref="AQ289:BU289" si="65">SUM(AQ290:AQ292)</f>
        <v>76.892072808188189</v>
      </c>
      <c r="AR289" s="15">
        <f t="shared" si="65"/>
        <v>77.451206484566967</v>
      </c>
      <c r="AS289" s="15">
        <f t="shared" si="65"/>
        <v>77.906328279143906</v>
      </c>
      <c r="AT289" s="15">
        <f t="shared" si="65"/>
        <v>78.585155673100331</v>
      </c>
      <c r="AU289" s="15">
        <f t="shared" si="65"/>
        <v>79.456186883750348</v>
      </c>
      <c r="AV289" s="15">
        <f t="shared" si="65"/>
        <v>80.315334581238631</v>
      </c>
      <c r="AW289" s="15">
        <f t="shared" si="65"/>
        <v>81.867603207466871</v>
      </c>
      <c r="AX289" s="15">
        <f t="shared" si="65"/>
        <v>83.332570799213102</v>
      </c>
      <c r="AY289" s="15">
        <f t="shared" si="65"/>
        <v>84.6243414939226</v>
      </c>
      <c r="AZ289" s="15">
        <f t="shared" si="65"/>
        <v>85.730420075013541</v>
      </c>
      <c r="BA289" s="15">
        <f t="shared" si="65"/>
        <v>86.672255727426162</v>
      </c>
      <c r="BB289" s="15">
        <f t="shared" si="65"/>
        <v>87.537944588451566</v>
      </c>
      <c r="BC289" s="15">
        <f t="shared" si="65"/>
        <v>88.219208836582652</v>
      </c>
      <c r="BD289" s="15">
        <f t="shared" si="65"/>
        <v>88.678298760300166</v>
      </c>
      <c r="BE289" s="15">
        <f t="shared" si="65"/>
        <v>88.870479119162042</v>
      </c>
      <c r="BF289" s="15">
        <f t="shared" si="65"/>
        <v>88.746618962534086</v>
      </c>
      <c r="BG289" s="15">
        <f t="shared" si="65"/>
        <v>88.249138978675859</v>
      </c>
      <c r="BH289" s="15">
        <f t="shared" si="65"/>
        <v>87.337647318872271</v>
      </c>
      <c r="BI289" s="15">
        <f t="shared" si="65"/>
        <v>85.959716777590387</v>
      </c>
      <c r="BJ289" s="15">
        <f t="shared" si="65"/>
        <v>84.07547568952495</v>
      </c>
      <c r="BK289" s="15">
        <f t="shared" si="65"/>
        <v>81.662574747083454</v>
      </c>
      <c r="BL289" s="15">
        <f t="shared" si="65"/>
        <v>78.714179252767067</v>
      </c>
      <c r="BM289" s="15">
        <f t="shared" si="65"/>
        <v>75.246103744568927</v>
      </c>
      <c r="BN289" s="15">
        <f t="shared" si="65"/>
        <v>71.295511525011634</v>
      </c>
      <c r="BO289" s="15">
        <f t="shared" si="65"/>
        <v>66.948134172099941</v>
      </c>
      <c r="BP289" s="15">
        <f t="shared" si="65"/>
        <v>62.304940043582604</v>
      </c>
      <c r="BQ289" s="15">
        <f t="shared" si="65"/>
        <v>58.626632085535945</v>
      </c>
      <c r="BR289" s="15">
        <f t="shared" si="65"/>
        <v>53.701033362856137</v>
      </c>
      <c r="BS289" s="15">
        <f t="shared" si="65"/>
        <v>48.83279916936506</v>
      </c>
      <c r="BT289" s="15">
        <f t="shared" si="65"/>
        <v>44.137424862988844</v>
      </c>
      <c r="BU289" s="15">
        <f t="shared" si="65"/>
        <v>39.702956847573645</v>
      </c>
      <c r="BV289" s="405"/>
    </row>
    <row r="290" spans="1:74" s="171" customFormat="1" ht="19.2" customHeight="1" x14ac:dyDescent="0.4">
      <c r="A290" s="114" t="s">
        <v>54</v>
      </c>
      <c r="B290" s="354" t="str">
        <f t="shared" si="64"/>
        <v>1.A.2.g.vii Off road vehicles and other machinerykt CO2-eq WEM</v>
      </c>
      <c r="C290" s="170" t="s">
        <v>48</v>
      </c>
      <c r="D290" s="58" t="s">
        <v>116</v>
      </c>
      <c r="E290" s="61" t="str">
        <f>$E$54</f>
        <v xml:space="preserve">   In Constructions</v>
      </c>
      <c r="F290" s="59"/>
      <c r="G290" s="60" t="str">
        <f t="shared" si="62"/>
        <v>Þús. tonn CO₂-íg. | kt CO₂e</v>
      </c>
      <c r="H290" s="394"/>
      <c r="I290" s="394"/>
      <c r="J290" s="394"/>
      <c r="K290" s="394"/>
      <c r="L290" s="394"/>
      <c r="M290" s="394"/>
      <c r="N290" s="394"/>
      <c r="O290" s="394"/>
      <c r="P290" s="394"/>
      <c r="Q290" s="394"/>
      <c r="R290" s="394"/>
      <c r="S290" s="394"/>
      <c r="T290" s="394"/>
      <c r="U290" s="394"/>
      <c r="V290" s="394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352"/>
      <c r="AP290" s="352">
        <f t="shared" si="63"/>
        <v>53.814387391841272</v>
      </c>
      <c r="AQ290" s="58">
        <v>55.591047899061891</v>
      </c>
      <c r="AR290" s="58">
        <v>56.433714200003266</v>
      </c>
      <c r="AS290" s="58">
        <v>57.215506076665349</v>
      </c>
      <c r="AT290" s="58">
        <v>58.266705361991235</v>
      </c>
      <c r="AU290" s="58">
        <v>59.555318164028868</v>
      </c>
      <c r="AV290" s="58">
        <v>60.87813856347227</v>
      </c>
      <c r="AW290" s="58">
        <v>62.123697289700431</v>
      </c>
      <c r="AX290" s="58">
        <v>63.304553287203873</v>
      </c>
      <c r="AY290" s="58">
        <v>64.340417509897051</v>
      </c>
      <c r="AZ290" s="58">
        <v>65.220073468074489</v>
      </c>
      <c r="BA290" s="58">
        <v>65.970553783018417</v>
      </c>
      <c r="BB290" s="58">
        <v>66.686204857695756</v>
      </c>
      <c r="BC290" s="58">
        <v>67.269717662745308</v>
      </c>
      <c r="BD290" s="58">
        <v>67.692816549040572</v>
      </c>
      <c r="BE290" s="58">
        <v>67.918449004905497</v>
      </c>
      <c r="BF290" s="58">
        <v>67.913662981249246</v>
      </c>
      <c r="BG290" s="58">
        <v>67.635205099122658</v>
      </c>
      <c r="BH290" s="58">
        <v>67.041940675264584</v>
      </c>
      <c r="BI290" s="58">
        <v>66.094967196334522</v>
      </c>
      <c r="BJ290" s="58">
        <v>64.759007243304168</v>
      </c>
      <c r="BK290" s="58">
        <v>63.015850188025865</v>
      </c>
      <c r="BL290" s="58">
        <v>60.855156294717418</v>
      </c>
      <c r="BM290" s="58">
        <v>58.287863293391425</v>
      </c>
      <c r="BN290" s="58">
        <v>55.346593623808381</v>
      </c>
      <c r="BO290" s="58">
        <v>52.084488882132277</v>
      </c>
      <c r="BP290" s="58">
        <v>48.579560432163497</v>
      </c>
      <c r="BQ290" s="58">
        <v>44.919183126054541</v>
      </c>
      <c r="BR290" s="58">
        <v>41.199713289262199</v>
      </c>
      <c r="BS290" s="58">
        <v>37.515324287184491</v>
      </c>
      <c r="BT290" s="58">
        <v>33.954799885552468</v>
      </c>
      <c r="BU290" s="58">
        <v>30.588627086298839</v>
      </c>
      <c r="BV290" s="405"/>
    </row>
    <row r="291" spans="1:74" s="171" customFormat="1" ht="19.2" customHeight="1" x14ac:dyDescent="0.4">
      <c r="A291" s="114" t="s">
        <v>87</v>
      </c>
      <c r="B291" s="354" t="str">
        <f t="shared" si="64"/>
        <v>1.A.4.c.ii Agriculture/Forestry/Fishing - Off-road vehicles and other machinerykt CO2-eq WEM</v>
      </c>
      <c r="C291" s="170" t="s">
        <v>48</v>
      </c>
      <c r="D291" s="58" t="s">
        <v>117</v>
      </c>
      <c r="E291" s="61" t="str">
        <f>$E$55</f>
        <v xml:space="preserve">   In Agriculture</v>
      </c>
      <c r="F291" s="58"/>
      <c r="G291" s="60" t="str">
        <f t="shared" si="62"/>
        <v>Þús. tonn CO₂-íg. | kt CO₂e</v>
      </c>
      <c r="H291" s="394"/>
      <c r="I291" s="394"/>
      <c r="J291" s="394"/>
      <c r="K291" s="394"/>
      <c r="L291" s="394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352"/>
      <c r="AP291" s="352">
        <f t="shared" si="63"/>
        <v>21.751104234845265</v>
      </c>
      <c r="AQ291" s="58">
        <v>21.301024909126294</v>
      </c>
      <c r="AR291" s="58">
        <v>21.017492284563708</v>
      </c>
      <c r="AS291" s="58">
        <v>20.690822202478554</v>
      </c>
      <c r="AT291" s="58">
        <v>20.318450311109103</v>
      </c>
      <c r="AU291" s="58">
        <v>19.900868719721476</v>
      </c>
      <c r="AV291" s="58">
        <v>19.437196017766365</v>
      </c>
      <c r="AW291" s="58">
        <v>19.74390591776644</v>
      </c>
      <c r="AX291" s="58">
        <v>20.028017512009235</v>
      </c>
      <c r="AY291" s="58">
        <v>20.283923984025545</v>
      </c>
      <c r="AZ291" s="58">
        <v>20.510346606939045</v>
      </c>
      <c r="BA291" s="58">
        <v>20.701701944407741</v>
      </c>
      <c r="BB291" s="58">
        <v>20.85173973075581</v>
      </c>
      <c r="BC291" s="58">
        <v>20.949491173837337</v>
      </c>
      <c r="BD291" s="58">
        <v>20.98548221125959</v>
      </c>
      <c r="BE291" s="58">
        <v>20.952030114256541</v>
      </c>
      <c r="BF291" s="58">
        <v>20.832955981284847</v>
      </c>
      <c r="BG291" s="58">
        <v>20.613933879553205</v>
      </c>
      <c r="BH291" s="58">
        <v>20.295706643607691</v>
      </c>
      <c r="BI291" s="58">
        <v>19.864749581255865</v>
      </c>
      <c r="BJ291" s="58">
        <v>19.316468446220789</v>
      </c>
      <c r="BK291" s="58">
        <v>18.646724559057581</v>
      </c>
      <c r="BL291" s="58">
        <v>17.859022958049653</v>
      </c>
      <c r="BM291" s="58">
        <v>16.958240451177499</v>
      </c>
      <c r="BN291" s="58">
        <v>15.948917901203254</v>
      </c>
      <c r="BO291" s="58">
        <v>14.863645289967661</v>
      </c>
      <c r="BP291" s="58">
        <v>13.725379611419111</v>
      </c>
      <c r="BQ291" s="58">
        <v>13.707448959481408</v>
      </c>
      <c r="BR291" s="58">
        <v>12.50132007359394</v>
      </c>
      <c r="BS291" s="58">
        <v>11.317474882180571</v>
      </c>
      <c r="BT291" s="58">
        <v>10.182624977436376</v>
      </c>
      <c r="BU291" s="58">
        <v>9.1143297612748064</v>
      </c>
      <c r="BV291" s="405"/>
    </row>
    <row r="292" spans="1:74" s="372" customFormat="1" ht="19.2" customHeight="1" x14ac:dyDescent="0.45">
      <c r="A292" s="114" t="s">
        <v>86</v>
      </c>
      <c r="B292" s="354" t="str">
        <f t="shared" si="64"/>
        <v>1.A.3.e.ii Other (please specify) kt CO2-eq WEM</v>
      </c>
      <c r="C292" s="170" t="s">
        <v>48</v>
      </c>
      <c r="D292" s="58" t="s">
        <v>118</v>
      </c>
      <c r="E292" s="61" t="str">
        <f>$E$56</f>
        <v xml:space="preserve">   Elsewhere</v>
      </c>
      <c r="F292" s="58"/>
      <c r="G292" s="60" t="str">
        <f t="shared" si="62"/>
        <v>Þús. tonn CO₂-íg. | kt CO₂e</v>
      </c>
      <c r="H292" s="394"/>
      <c r="I292" s="394"/>
      <c r="J292" s="394"/>
      <c r="K292" s="394"/>
      <c r="L292" s="394"/>
      <c r="M292" s="394"/>
      <c r="N292" s="394"/>
      <c r="O292" s="394"/>
      <c r="P292" s="394"/>
      <c r="Q292" s="394"/>
      <c r="R292" s="394"/>
      <c r="S292" s="394"/>
      <c r="T292" s="394"/>
      <c r="U292" s="394"/>
      <c r="V292" s="394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352"/>
      <c r="AP292" s="352">
        <f t="shared" si="63"/>
        <v>0.91881460757752842</v>
      </c>
      <c r="AQ292" s="388">
        <v>0</v>
      </c>
      <c r="AR292" s="388">
        <v>0</v>
      </c>
      <c r="AS292" s="388">
        <v>0</v>
      </c>
      <c r="AT292" s="388">
        <v>0</v>
      </c>
      <c r="AU292" s="388">
        <v>0</v>
      </c>
      <c r="AV292" s="388">
        <v>0</v>
      </c>
      <c r="AW292" s="388">
        <v>0</v>
      </c>
      <c r="AX292" s="388">
        <v>0</v>
      </c>
      <c r="AY292" s="388">
        <v>0</v>
      </c>
      <c r="AZ292" s="388">
        <v>0</v>
      </c>
      <c r="BA292" s="388">
        <v>0</v>
      </c>
      <c r="BB292" s="388">
        <v>0</v>
      </c>
      <c r="BC292" s="388">
        <v>0</v>
      </c>
      <c r="BD292" s="388">
        <v>0</v>
      </c>
      <c r="BE292" s="388">
        <v>0</v>
      </c>
      <c r="BF292" s="388">
        <v>0</v>
      </c>
      <c r="BG292" s="388">
        <v>0</v>
      </c>
      <c r="BH292" s="388">
        <v>0</v>
      </c>
      <c r="BI292" s="388">
        <v>0</v>
      </c>
      <c r="BJ292" s="388">
        <v>0</v>
      </c>
      <c r="BK292" s="388">
        <v>0</v>
      </c>
      <c r="BL292" s="388">
        <v>0</v>
      </c>
      <c r="BM292" s="388">
        <v>0</v>
      </c>
      <c r="BN292" s="388">
        <v>0</v>
      </c>
      <c r="BO292" s="388">
        <v>0</v>
      </c>
      <c r="BP292" s="388">
        <v>0</v>
      </c>
      <c r="BQ292" s="388">
        <v>0</v>
      </c>
      <c r="BR292" s="388">
        <v>0</v>
      </c>
      <c r="BS292" s="388">
        <v>0</v>
      </c>
      <c r="BT292" s="388">
        <v>0</v>
      </c>
      <c r="BU292" s="388">
        <v>0</v>
      </c>
      <c r="BV292" s="405"/>
    </row>
    <row r="293" spans="1:74" s="373" customFormat="1" ht="19.2" customHeight="1" x14ac:dyDescent="0.4">
      <c r="A293" s="114" t="s">
        <v>94</v>
      </c>
      <c r="B293" s="354" t="str">
        <f t="shared" si="64"/>
        <v>ESD Other WEM</v>
      </c>
      <c r="C293" s="170" t="s">
        <v>48</v>
      </c>
      <c r="D293" s="15" t="s">
        <v>24</v>
      </c>
      <c r="E293" s="17" t="s">
        <v>189</v>
      </c>
      <c r="F293" s="15"/>
      <c r="G293" s="16" t="str">
        <f t="shared" si="62"/>
        <v>Þús. tonn CO₂-íg. | kt CO₂e</v>
      </c>
      <c r="H293" s="393"/>
      <c r="I293" s="393"/>
      <c r="J293" s="393"/>
      <c r="K293" s="393"/>
      <c r="L293" s="393"/>
      <c r="M293" s="393"/>
      <c r="N293" s="393"/>
      <c r="O293" s="393"/>
      <c r="P293" s="393"/>
      <c r="Q293" s="393"/>
      <c r="R293" s="393"/>
      <c r="S293" s="393"/>
      <c r="T293" s="393"/>
      <c r="U293" s="393"/>
      <c r="V293" s="393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352"/>
      <c r="AP293" s="352">
        <f t="shared" si="63"/>
        <v>165.40197900591784</v>
      </c>
      <c r="AQ293" s="15">
        <f t="shared" ref="AQ293:BU293" si="66">AQ294-SUM(AQ283,AQ284:AQ289)</f>
        <v>135.66801254459415</v>
      </c>
      <c r="AR293" s="15">
        <f t="shared" si="66"/>
        <v>133.45420692126936</v>
      </c>
      <c r="AS293" s="15">
        <f t="shared" si="66"/>
        <v>131.47336350954856</v>
      </c>
      <c r="AT293" s="15">
        <f t="shared" si="66"/>
        <v>130.25879802865802</v>
      </c>
      <c r="AU293" s="15">
        <f t="shared" si="66"/>
        <v>128.09734362420477</v>
      </c>
      <c r="AV293" s="15">
        <f t="shared" si="66"/>
        <v>124.19236705485582</v>
      </c>
      <c r="AW293" s="15">
        <f t="shared" si="66"/>
        <v>120.98829842459645</v>
      </c>
      <c r="AX293" s="15">
        <f t="shared" si="66"/>
        <v>116.50549282371412</v>
      </c>
      <c r="AY293" s="15">
        <f t="shared" si="66"/>
        <v>115.81807684815521</v>
      </c>
      <c r="AZ293" s="15">
        <f t="shared" si="66"/>
        <v>115.10462261467774</v>
      </c>
      <c r="BA293" s="15">
        <f t="shared" si="66"/>
        <v>109.81895454867526</v>
      </c>
      <c r="BB293" s="15">
        <f t="shared" si="66"/>
        <v>108.90984507971689</v>
      </c>
      <c r="BC293" s="15">
        <f t="shared" si="66"/>
        <v>108.03143095647215</v>
      </c>
      <c r="BD293" s="15">
        <f t="shared" si="66"/>
        <v>107.24253669626614</v>
      </c>
      <c r="BE293" s="15">
        <f t="shared" si="66"/>
        <v>106.37351005893879</v>
      </c>
      <c r="BF293" s="15">
        <f t="shared" si="66"/>
        <v>105.51599150485708</v>
      </c>
      <c r="BG293" s="15">
        <f t="shared" si="66"/>
        <v>104.32202695814362</v>
      </c>
      <c r="BH293" s="15">
        <f t="shared" si="66"/>
        <v>103.12095450510105</v>
      </c>
      <c r="BI293" s="15">
        <f t="shared" si="66"/>
        <v>101.92710593059496</v>
      </c>
      <c r="BJ293" s="15">
        <f t="shared" si="66"/>
        <v>100.71226163099413</v>
      </c>
      <c r="BK293" s="15">
        <f t="shared" si="66"/>
        <v>99.486794955011419</v>
      </c>
      <c r="BL293" s="15">
        <f t="shared" si="66"/>
        <v>98.229702312094332</v>
      </c>
      <c r="BM293" s="15">
        <f t="shared" si="66"/>
        <v>96.947141833431488</v>
      </c>
      <c r="BN293" s="15">
        <f t="shared" si="66"/>
        <v>95.61130287832043</v>
      </c>
      <c r="BO293" s="15">
        <f t="shared" si="66"/>
        <v>94.183540889470123</v>
      </c>
      <c r="BP293" s="15">
        <f t="shared" si="66"/>
        <v>92.478177773033849</v>
      </c>
      <c r="BQ293" s="15">
        <f t="shared" si="66"/>
        <v>91.26928573999794</v>
      </c>
      <c r="BR293" s="15">
        <f t="shared" si="66"/>
        <v>90.042054938948922</v>
      </c>
      <c r="BS293" s="15">
        <f t="shared" si="66"/>
        <v>88.814972194176448</v>
      </c>
      <c r="BT293" s="15">
        <f t="shared" si="66"/>
        <v>87.586756138595774</v>
      </c>
      <c r="BU293" s="15">
        <f t="shared" si="66"/>
        <v>83.939066402467233</v>
      </c>
      <c r="BV293" s="405"/>
    </row>
    <row r="294" spans="1:74" s="136" customFormat="1" ht="19.2" customHeight="1" x14ac:dyDescent="0.4">
      <c r="A294" s="114" t="s">
        <v>354</v>
      </c>
      <c r="B294" s="114" t="s">
        <v>354</v>
      </c>
      <c r="C294" s="170" t="s">
        <v>48</v>
      </c>
      <c r="D294" s="22" t="s">
        <v>135</v>
      </c>
      <c r="E294" s="22"/>
      <c r="F294" s="22"/>
      <c r="G294" s="23" t="str">
        <f t="shared" si="62"/>
        <v>Þús. tonn CO₂-íg. | kt CO₂e</v>
      </c>
      <c r="H294" s="395"/>
      <c r="I294" s="395"/>
      <c r="J294" s="395"/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352"/>
      <c r="AP294" s="352">
        <f t="shared" si="63"/>
        <v>2863.863170674153</v>
      </c>
      <c r="AQ294" s="22">
        <v>2685.8764106674525</v>
      </c>
      <c r="AR294" s="22">
        <v>2606.1303508637966</v>
      </c>
      <c r="AS294" s="22">
        <v>2571.1252032106631</v>
      </c>
      <c r="AT294" s="22">
        <v>2490.9518672539471</v>
      </c>
      <c r="AU294" s="22">
        <v>2450.3351587920934</v>
      </c>
      <c r="AV294" s="22">
        <v>2403.3015177223724</v>
      </c>
      <c r="AW294" s="22">
        <v>2338.7023404507599</v>
      </c>
      <c r="AX294" s="22">
        <v>2294.6234201119664</v>
      </c>
      <c r="AY294" s="22">
        <v>2254.2208996069057</v>
      </c>
      <c r="AZ294" s="22">
        <v>2190.8336865025094</v>
      </c>
      <c r="BA294" s="22">
        <v>2104.7041000652357</v>
      </c>
      <c r="BB294" s="22">
        <v>2025.4029714482367</v>
      </c>
      <c r="BC294" s="22">
        <v>1943.7430317568403</v>
      </c>
      <c r="BD294" s="22">
        <v>1865.0804533292642</v>
      </c>
      <c r="BE294" s="22">
        <v>1785.3292962198825</v>
      </c>
      <c r="BF294" s="22">
        <v>1703.4055632130492</v>
      </c>
      <c r="BG294" s="22">
        <v>1622.6734391109169</v>
      </c>
      <c r="BH294" s="22">
        <v>1552.4645362400831</v>
      </c>
      <c r="BI294" s="22">
        <v>1486.1809475949988</v>
      </c>
      <c r="BJ294" s="22">
        <v>1430.951513126515</v>
      </c>
      <c r="BK294" s="22">
        <v>1373.9871534411332</v>
      </c>
      <c r="BL294" s="22">
        <v>1321.6920262867882</v>
      </c>
      <c r="BM294" s="22">
        <v>1271.1458823801638</v>
      </c>
      <c r="BN294" s="22">
        <v>1223.6300656413739</v>
      </c>
      <c r="BO294" s="22">
        <v>1178.8111746108671</v>
      </c>
      <c r="BP294" s="22">
        <v>1140.6042718662652</v>
      </c>
      <c r="BQ294" s="22">
        <v>1107.5870831008979</v>
      </c>
      <c r="BR294" s="22">
        <v>1075.761265246839</v>
      </c>
      <c r="BS294" s="22">
        <v>1045.9527979576096</v>
      </c>
      <c r="BT294" s="22">
        <v>1019.1967381554093</v>
      </c>
      <c r="BU294" s="22">
        <v>993.08597788748853</v>
      </c>
    </row>
    <row r="295" spans="1:74" s="404" customFormat="1" ht="19.2" customHeight="1" x14ac:dyDescent="0.35">
      <c r="A295" s="385" t="s">
        <v>352</v>
      </c>
      <c r="B295" s="402"/>
      <c r="C295" s="382"/>
      <c r="D295" s="347"/>
      <c r="E295" s="347"/>
      <c r="F295" s="347"/>
      <c r="G295" s="403"/>
      <c r="H295" s="403"/>
      <c r="I295" s="403"/>
      <c r="J295" s="403"/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384"/>
      <c r="X295" s="384"/>
      <c r="Y295" s="384"/>
      <c r="Z295" s="384"/>
      <c r="AA295" s="384"/>
      <c r="AB295" s="384"/>
      <c r="AC295" s="384"/>
      <c r="AD295" s="384"/>
      <c r="AE295" s="384"/>
      <c r="AF295" s="384"/>
      <c r="AG295" s="384"/>
      <c r="AH295" s="384"/>
      <c r="AI295" s="384"/>
      <c r="AJ295" s="384"/>
      <c r="AK295" s="384"/>
      <c r="AL295" s="384"/>
      <c r="AM295" s="384"/>
      <c r="AN295" s="384"/>
      <c r="AO295" s="384">
        <f>AO281</f>
        <v>510.88369488928851</v>
      </c>
      <c r="AP295" s="384">
        <f t="shared" si="63"/>
        <v>573.36194253906569</v>
      </c>
      <c r="AQ295" s="347">
        <f t="shared" ref="AQ295:BU295" si="67">AQ294-AQ283-AQ284-AQ285-AQ286</f>
        <v>480.19119491965489</v>
      </c>
      <c r="AR295" s="347">
        <f t="shared" si="67"/>
        <v>444.08759293878722</v>
      </c>
      <c r="AS295" s="347">
        <f t="shared" si="67"/>
        <v>448.20694843928527</v>
      </c>
      <c r="AT295" s="347">
        <f t="shared" si="67"/>
        <v>401.7418448779963</v>
      </c>
      <c r="AU295" s="347">
        <f t="shared" si="67"/>
        <v>385.71147458918949</v>
      </c>
      <c r="AV295" s="347">
        <f t="shared" si="67"/>
        <v>376.3766861944502</v>
      </c>
      <c r="AW295" s="347">
        <f t="shared" si="67"/>
        <v>356.97075130153343</v>
      </c>
      <c r="AX295" s="347">
        <f t="shared" si="67"/>
        <v>354.76896027118818</v>
      </c>
      <c r="AY295" s="347">
        <f t="shared" si="67"/>
        <v>362.108957633979</v>
      </c>
      <c r="AZ295" s="347">
        <f t="shared" si="67"/>
        <v>352.11881145444306</v>
      </c>
      <c r="BA295" s="347">
        <f t="shared" si="67"/>
        <v>342.46354827477603</v>
      </c>
      <c r="BB295" s="347">
        <f t="shared" si="67"/>
        <v>343.01640099852568</v>
      </c>
      <c r="BC295" s="347">
        <f t="shared" si="67"/>
        <v>343.18795872479848</v>
      </c>
      <c r="BD295" s="347">
        <f t="shared" si="67"/>
        <v>342.75879122907162</v>
      </c>
      <c r="BE295" s="347">
        <f t="shared" si="67"/>
        <v>342.48332926398939</v>
      </c>
      <c r="BF295" s="347">
        <f t="shared" si="67"/>
        <v>341.83539408297224</v>
      </c>
      <c r="BG295" s="347">
        <f t="shared" si="67"/>
        <v>340.71375073654548</v>
      </c>
      <c r="BH295" s="347">
        <f t="shared" si="67"/>
        <v>338.67796790280079</v>
      </c>
      <c r="BI295" s="347">
        <f t="shared" si="67"/>
        <v>336.16596533354067</v>
      </c>
      <c r="BJ295" s="347">
        <f t="shared" si="67"/>
        <v>333.11993974346223</v>
      </c>
      <c r="BK295" s="347">
        <f t="shared" si="67"/>
        <v>329.52862818069661</v>
      </c>
      <c r="BL295" s="347">
        <f t="shared" si="67"/>
        <v>325.4638676740982</v>
      </c>
      <c r="BM295" s="347">
        <f t="shared" si="67"/>
        <v>321.01310598171045</v>
      </c>
      <c r="BN295" s="347">
        <f t="shared" si="67"/>
        <v>315.47262109450776</v>
      </c>
      <c r="BO295" s="347">
        <f t="shared" si="67"/>
        <v>309.57842897715153</v>
      </c>
      <c r="BP295" s="347">
        <f t="shared" si="67"/>
        <v>303.22120834792395</v>
      </c>
      <c r="BQ295" s="347">
        <f t="shared" si="67"/>
        <v>298.16445911242806</v>
      </c>
      <c r="BR295" s="347">
        <f t="shared" si="67"/>
        <v>291.86671867969181</v>
      </c>
      <c r="BS295" s="347">
        <f t="shared" si="67"/>
        <v>285.67097522900929</v>
      </c>
      <c r="BT295" s="347">
        <f t="shared" si="67"/>
        <v>279.70250232350367</v>
      </c>
      <c r="BU295" s="347">
        <f t="shared" si="67"/>
        <v>271.61660937969003</v>
      </c>
    </row>
    <row r="296" spans="1:74" s="698" customFormat="1" ht="42.6" customHeight="1" x14ac:dyDescent="0.75">
      <c r="A296" s="696"/>
      <c r="B296" s="697" t="s">
        <v>48</v>
      </c>
      <c r="C296" s="669"/>
      <c r="D296" s="668" t="s">
        <v>415</v>
      </c>
      <c r="E296" s="669"/>
      <c r="F296" s="669"/>
      <c r="G296" s="669"/>
      <c r="H296" s="669"/>
      <c r="I296" s="669"/>
      <c r="J296" s="669"/>
      <c r="K296" s="669"/>
      <c r="L296" s="669"/>
      <c r="M296" s="669"/>
      <c r="N296" s="669"/>
      <c r="O296" s="669"/>
      <c r="P296" s="669"/>
      <c r="Q296" s="669"/>
      <c r="R296" s="669"/>
      <c r="S296" s="669"/>
      <c r="T296" s="669"/>
      <c r="U296" s="669"/>
      <c r="V296" s="669"/>
      <c r="W296" s="669"/>
      <c r="X296" s="669"/>
      <c r="Y296" s="669"/>
      <c r="Z296" s="669"/>
      <c r="AA296" s="669"/>
      <c r="AB296" s="669"/>
      <c r="AC296" s="669"/>
      <c r="AD296" s="669"/>
      <c r="AE296" s="669"/>
      <c r="AF296" s="669"/>
      <c r="AG296" s="669"/>
      <c r="AH296" s="669"/>
      <c r="AI296" s="669"/>
      <c r="AJ296" s="669"/>
      <c r="AK296" s="669"/>
      <c r="AL296" s="669"/>
      <c r="AM296" s="669"/>
      <c r="AN296" s="669"/>
      <c r="AO296" s="669"/>
      <c r="AP296" s="669"/>
      <c r="AQ296" s="669"/>
      <c r="AR296" s="669"/>
      <c r="AS296" s="669"/>
      <c r="AT296" s="669"/>
      <c r="AU296" s="669"/>
      <c r="AV296" s="669"/>
      <c r="AW296" s="669"/>
      <c r="AX296" s="670"/>
      <c r="AY296" s="670"/>
      <c r="AZ296" s="670"/>
      <c r="BA296" s="670"/>
      <c r="BB296" s="669"/>
      <c r="BC296" s="669"/>
      <c r="BD296" s="669"/>
      <c r="BE296" s="669"/>
      <c r="BF296" s="669"/>
      <c r="BG296" s="669"/>
      <c r="BH296" s="669"/>
      <c r="BI296" s="669"/>
      <c r="BJ296" s="669"/>
      <c r="BK296" s="669"/>
      <c r="BL296" s="669"/>
      <c r="BM296" s="669"/>
      <c r="BN296" s="669"/>
      <c r="BO296" s="669"/>
      <c r="BP296" s="669"/>
      <c r="BQ296" s="669"/>
      <c r="BR296" s="669"/>
      <c r="BS296" s="669"/>
      <c r="BT296" s="669"/>
      <c r="BU296" s="669"/>
    </row>
    <row r="297" spans="1:74" s="679" customFormat="1" ht="37.200000000000003" customHeight="1" x14ac:dyDescent="0.4">
      <c r="A297" s="671"/>
      <c r="B297" s="672"/>
      <c r="C297" s="673"/>
      <c r="D297" s="674"/>
      <c r="E297" s="675"/>
      <c r="F297" s="675"/>
      <c r="G297" s="675"/>
      <c r="H297" s="675"/>
      <c r="I297" s="675"/>
      <c r="J297" s="675"/>
      <c r="K297" s="675"/>
      <c r="L297" s="675"/>
      <c r="M297" s="675"/>
      <c r="N297" s="675"/>
      <c r="O297" s="675"/>
      <c r="P297" s="675"/>
      <c r="Q297" s="675"/>
      <c r="R297" s="675"/>
      <c r="S297" s="675"/>
      <c r="T297" s="675"/>
      <c r="U297" s="675"/>
      <c r="V297" s="675"/>
      <c r="W297" s="676"/>
      <c r="X297" s="677"/>
      <c r="Y297" s="677"/>
      <c r="Z297" s="677"/>
      <c r="AA297" s="677"/>
      <c r="AB297" s="677"/>
      <c r="AC297" s="677"/>
      <c r="AD297" s="677"/>
      <c r="AE297" s="677"/>
      <c r="AF297" s="677"/>
      <c r="AG297" s="677"/>
      <c r="AH297" s="677"/>
      <c r="AI297" s="677"/>
      <c r="AJ297" s="677"/>
      <c r="AK297" s="677"/>
      <c r="AL297" s="677"/>
      <c r="AM297" s="677"/>
      <c r="AN297" s="677"/>
      <c r="AO297" s="677"/>
      <c r="AP297" s="677"/>
      <c r="AQ297" s="677"/>
      <c r="AR297" s="677"/>
      <c r="AS297" s="677"/>
      <c r="AT297" s="677"/>
      <c r="AU297" s="677"/>
      <c r="AV297" s="678"/>
      <c r="AW297" s="677"/>
      <c r="AX297" s="677"/>
      <c r="AY297" s="677"/>
      <c r="AZ297" s="677"/>
      <c r="BA297" s="677"/>
      <c r="BB297" s="677"/>
      <c r="BC297" s="677"/>
      <c r="BD297" s="677"/>
      <c r="BE297" s="677"/>
      <c r="BF297" s="677"/>
      <c r="BG297" s="677"/>
      <c r="BH297" s="677"/>
      <c r="BI297" s="677"/>
      <c r="BJ297" s="677"/>
      <c r="BK297" s="677"/>
      <c r="BL297" s="677"/>
      <c r="BM297" s="677"/>
      <c r="BN297" s="677"/>
      <c r="BO297" s="677"/>
      <c r="BP297" s="677"/>
      <c r="BQ297" s="677"/>
      <c r="BR297" s="677"/>
      <c r="BS297" s="677"/>
      <c r="BT297" s="677"/>
      <c r="BU297" s="677"/>
    </row>
    <row r="298" spans="1:74" s="171" customFormat="1" ht="15" customHeight="1" x14ac:dyDescent="0.4">
      <c r="A298" s="108"/>
      <c r="B298" s="109"/>
      <c r="C298" s="175" t="s">
        <v>48</v>
      </c>
      <c r="D298" s="1017" t="str">
        <f>$D$4</f>
        <v>Söguleg losun</v>
      </c>
      <c r="E298" s="1017" t="s">
        <v>398</v>
      </c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</row>
    <row r="299" spans="1:74" s="112" customFormat="1" ht="18" customHeight="1" x14ac:dyDescent="0.35">
      <c r="A299" s="132" t="s">
        <v>92</v>
      </c>
      <c r="B299" s="109" t="s">
        <v>48</v>
      </c>
      <c r="C299" s="175" t="s">
        <v>48</v>
      </c>
      <c r="D299" s="15" t="s">
        <v>38</v>
      </c>
      <c r="E299" s="17" t="s">
        <v>175</v>
      </c>
      <c r="F299" s="22"/>
      <c r="G299" s="16" t="str">
        <f>$G$5</f>
        <v>Þús. tonn CO₂-íg. | kt CO₂e</v>
      </c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5">
        <v>31.238484919299999</v>
      </c>
      <c r="X299" s="15">
        <v>25.512199570446668</v>
      </c>
      <c r="Y299" s="15">
        <v>25.460353461473328</v>
      </c>
      <c r="Z299" s="15">
        <v>25.083005222693334</v>
      </c>
      <c r="AA299" s="15">
        <v>20.12935053244</v>
      </c>
      <c r="AB299" s="15">
        <v>21.812472989966665</v>
      </c>
      <c r="AC299" s="15">
        <v>22.110419334539998</v>
      </c>
      <c r="AD299" s="15">
        <v>16.003616755494086</v>
      </c>
      <c r="AE299" s="15">
        <v>11.370694227316065</v>
      </c>
      <c r="AF299" s="177">
        <v>7.989149136368459</v>
      </c>
      <c r="AG299" s="177">
        <v>7.879728268322002</v>
      </c>
      <c r="AH299" s="15">
        <v>12.421143917972499</v>
      </c>
      <c r="AI299" s="15">
        <v>10.913579733697402</v>
      </c>
      <c r="AJ299" s="15">
        <v>12.178335297197657</v>
      </c>
      <c r="AK299" s="15">
        <v>10.857557637036349</v>
      </c>
      <c r="AL299" s="177">
        <v>7.8790448188936626</v>
      </c>
      <c r="AM299" s="15">
        <v>10.453638308901184</v>
      </c>
      <c r="AN299" s="177">
        <v>7.618495403881953</v>
      </c>
      <c r="AO299" s="177">
        <v>5.5265801624558328</v>
      </c>
      <c r="AP299" s="177">
        <v>6.230714396192325</v>
      </c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</row>
    <row r="300" spans="1:74" s="112" customFormat="1" ht="18" customHeight="1" x14ac:dyDescent="0.35">
      <c r="A300" s="178" t="s">
        <v>436</v>
      </c>
      <c r="B300" s="109" t="s">
        <v>48</v>
      </c>
      <c r="C300" s="175" t="s">
        <v>48</v>
      </c>
      <c r="D300" s="15" t="s">
        <v>39</v>
      </c>
      <c r="E300" s="17" t="s">
        <v>156</v>
      </c>
      <c r="F300" s="22"/>
      <c r="G300" s="16" t="str">
        <f>$G$5</f>
        <v>Þús. tonn CO₂-íg. | kt CO₂e</v>
      </c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5">
        <v>376.83593000639996</v>
      </c>
      <c r="X300" s="15">
        <v>378.67314290880006</v>
      </c>
      <c r="Y300" s="15">
        <v>398.15671910399999</v>
      </c>
      <c r="Z300" s="15">
        <v>349.27363032799997</v>
      </c>
      <c r="AA300" s="15">
        <v>350.6137790624</v>
      </c>
      <c r="AB300" s="15">
        <v>369.70003365120004</v>
      </c>
      <c r="AC300" s="15">
        <v>377.47027440484715</v>
      </c>
      <c r="AD300" s="15">
        <v>410.12313323066923</v>
      </c>
      <c r="AE300" s="15">
        <v>406.15873991578883</v>
      </c>
      <c r="AF300" s="15">
        <v>368.42751117182405</v>
      </c>
      <c r="AG300" s="15">
        <v>400.91750131306242</v>
      </c>
      <c r="AH300" s="15">
        <v>408.82193280440475</v>
      </c>
      <c r="AI300" s="15">
        <v>455.47882417437097</v>
      </c>
      <c r="AJ300" s="15">
        <v>452.2433647004662</v>
      </c>
      <c r="AK300" s="15">
        <v>428.79341747368801</v>
      </c>
      <c r="AL300" s="15">
        <v>415.30481108799324</v>
      </c>
      <c r="AM300" s="15">
        <v>472.04519978932524</v>
      </c>
      <c r="AN300" s="15">
        <v>513.25851857568762</v>
      </c>
      <c r="AO300" s="15">
        <v>404.35243266231652</v>
      </c>
      <c r="AP300" s="15">
        <v>522.51012450550002</v>
      </c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</row>
    <row r="301" spans="1:74" s="143" customFormat="1" ht="18" customHeight="1" x14ac:dyDescent="0.35">
      <c r="A301" s="178" t="s">
        <v>437</v>
      </c>
      <c r="B301" s="109" t="s">
        <v>48</v>
      </c>
      <c r="C301" s="175" t="s">
        <v>48</v>
      </c>
      <c r="D301" s="15" t="s">
        <v>15</v>
      </c>
      <c r="E301" s="17" t="s">
        <v>155</v>
      </c>
      <c r="F301" s="22"/>
      <c r="G301" s="16" t="str">
        <f>$G$5</f>
        <v>Þús. tonn CO₂-íg. | kt CO₂e</v>
      </c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5">
        <v>444.80851616708713</v>
      </c>
      <c r="X301" s="15">
        <v>869.57185988485026</v>
      </c>
      <c r="Y301" s="15">
        <v>990.9812662975811</v>
      </c>
      <c r="Z301" s="15">
        <v>1556.7584922170533</v>
      </c>
      <c r="AA301" s="15">
        <v>1393.4018646112661</v>
      </c>
      <c r="AB301" s="15">
        <v>1391.9209450624714</v>
      </c>
      <c r="AC301" s="15">
        <v>1281.3105455922125</v>
      </c>
      <c r="AD301" s="15">
        <v>1328.734241090614</v>
      </c>
      <c r="AE301" s="15">
        <v>1353.4714335748731</v>
      </c>
      <c r="AF301" s="15">
        <v>1368.5549133196287</v>
      </c>
      <c r="AG301" s="15">
        <v>1392.8009611325194</v>
      </c>
      <c r="AH301" s="15">
        <v>1354.0817500285532</v>
      </c>
      <c r="AI301" s="15">
        <v>1385.5590799231948</v>
      </c>
      <c r="AJ301" s="15">
        <v>1382.5326490562104</v>
      </c>
      <c r="AK301" s="15">
        <v>1348.3578754895577</v>
      </c>
      <c r="AL301" s="15">
        <v>1328.849358132371</v>
      </c>
      <c r="AM301" s="15">
        <v>1345.5222697586937</v>
      </c>
      <c r="AN301" s="15">
        <v>1354.2007303406649</v>
      </c>
      <c r="AO301" s="15">
        <v>1402.6496416686878</v>
      </c>
      <c r="AP301" s="15">
        <v>1360.4116549515916</v>
      </c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</row>
    <row r="302" spans="1:74" s="8" customFormat="1" ht="18" customHeight="1" x14ac:dyDescent="0.4">
      <c r="A302" s="178" t="s">
        <v>90</v>
      </c>
      <c r="B302" s="109" t="s">
        <v>48</v>
      </c>
      <c r="C302" s="175" t="s">
        <v>48</v>
      </c>
      <c r="D302" s="22" t="s">
        <v>135</v>
      </c>
      <c r="E302" s="22"/>
      <c r="F302" s="22"/>
      <c r="G302" s="23" t="str">
        <f>$G$5</f>
        <v>Þús. tonn CO₂-íg. | kt CO₂e</v>
      </c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79">
        <v>852.8829310927872</v>
      </c>
      <c r="X302" s="179">
        <v>1273.7572023640969</v>
      </c>
      <c r="Y302" s="179">
        <v>1414.5983388630543</v>
      </c>
      <c r="Z302" s="179">
        <v>1931.1151277677466</v>
      </c>
      <c r="AA302" s="179">
        <v>1764.1449942061063</v>
      </c>
      <c r="AB302" s="179">
        <v>1783.4334517036384</v>
      </c>
      <c r="AC302" s="179">
        <v>1680.8912393315998</v>
      </c>
      <c r="AD302" s="179">
        <v>1754.8609910767771</v>
      </c>
      <c r="AE302" s="179">
        <v>1771.0008677179781</v>
      </c>
      <c r="AF302" s="179">
        <v>1744.9715736278213</v>
      </c>
      <c r="AG302" s="179">
        <v>1801.5981907139037</v>
      </c>
      <c r="AH302" s="179">
        <v>1775.3248267509305</v>
      </c>
      <c r="AI302" s="179">
        <v>1851.9514838312632</v>
      </c>
      <c r="AJ302" s="179">
        <v>1846.9543490538742</v>
      </c>
      <c r="AK302" s="179">
        <v>1788.0088506002819</v>
      </c>
      <c r="AL302" s="179">
        <v>1752.0332140392577</v>
      </c>
      <c r="AM302" s="179">
        <v>1828.02</v>
      </c>
      <c r="AN302" s="179">
        <v>1875.076</v>
      </c>
      <c r="AO302" s="179">
        <v>1812.53</v>
      </c>
      <c r="AP302" s="179">
        <v>1889.154</v>
      </c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</row>
    <row r="303" spans="1:74" s="143" customFormat="1" ht="15" customHeight="1" x14ac:dyDescent="0.4">
      <c r="A303" s="114"/>
      <c r="B303" s="109"/>
      <c r="C303" s="115"/>
      <c r="D303" s="69"/>
      <c r="E303" s="69"/>
      <c r="F303" s="69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47"/>
      <c r="AN303" s="180"/>
      <c r="AO303" s="180"/>
      <c r="AP303" s="401"/>
      <c r="AQ303" s="401"/>
      <c r="AR303" s="401"/>
      <c r="AS303" s="401"/>
      <c r="AT303" s="401"/>
      <c r="AU303" s="401"/>
      <c r="AV303" s="401"/>
      <c r="AW303" s="401"/>
      <c r="AX303" s="401"/>
      <c r="AY303" s="401"/>
      <c r="AZ303" s="401"/>
      <c r="BA303" s="401"/>
      <c r="BB303" s="401"/>
      <c r="BC303" s="401"/>
      <c r="BD303" s="401"/>
      <c r="BE303" s="401"/>
      <c r="BF303" s="401"/>
      <c r="BG303" s="401"/>
      <c r="BH303" s="401"/>
      <c r="BI303" s="401"/>
      <c r="BJ303" s="401"/>
      <c r="BK303" s="401"/>
      <c r="BL303" s="401"/>
      <c r="BM303" s="401"/>
      <c r="BN303" s="401"/>
      <c r="BO303" s="401"/>
      <c r="BP303" s="401"/>
      <c r="BQ303" s="401"/>
      <c r="BR303" s="401"/>
      <c r="BS303" s="401"/>
      <c r="BT303" s="401"/>
      <c r="BU303" s="401"/>
    </row>
    <row r="304" spans="1:74" s="171" customFormat="1" ht="33" customHeight="1" x14ac:dyDescent="0.4">
      <c r="A304" s="108"/>
      <c r="B304" s="109"/>
      <c r="C304" s="175" t="s">
        <v>48</v>
      </c>
      <c r="D304" s="1025" t="s">
        <v>445</v>
      </c>
      <c r="E304" s="1025" t="s">
        <v>446</v>
      </c>
      <c r="F304" s="17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</row>
    <row r="305" spans="1:73" s="112" customFormat="1" ht="18" customHeight="1" x14ac:dyDescent="0.35">
      <c r="A305" s="132" t="s">
        <v>92</v>
      </c>
      <c r="B305" s="109" t="str">
        <f>A305&amp;" WEM"</f>
        <v>ETS Energy EmissionsGHGskt CO2eq WEM</v>
      </c>
      <c r="C305" s="175" t="s">
        <v>48</v>
      </c>
      <c r="D305" s="15" t="s">
        <v>38</v>
      </c>
      <c r="E305" s="17" t="s">
        <v>175</v>
      </c>
      <c r="F305" s="22"/>
      <c r="G305" s="16" t="str">
        <f>$G$5</f>
        <v>Þús. tonn CO₂-íg. | kt CO₂e</v>
      </c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352"/>
      <c r="AP305" s="352">
        <f>AP299</f>
        <v>6.230714396192325</v>
      </c>
      <c r="AQ305" s="177">
        <v>7.3219853581254108</v>
      </c>
      <c r="AR305" s="177">
        <v>7.218729028375793</v>
      </c>
      <c r="AS305" s="177">
        <v>7.1285104016849932</v>
      </c>
      <c r="AT305" s="177">
        <v>7.0408712611220317</v>
      </c>
      <c r="AU305" s="177">
        <v>6.960483746301005</v>
      </c>
      <c r="AV305" s="177">
        <v>6.871587800769694</v>
      </c>
      <c r="AW305" s="177">
        <v>6.7687568685634547</v>
      </c>
      <c r="AX305" s="177">
        <v>6.6525109823025019</v>
      </c>
      <c r="AY305" s="177">
        <v>6.5271165547385612</v>
      </c>
      <c r="AZ305" s="177">
        <v>6.3870923269062727</v>
      </c>
      <c r="BA305" s="177">
        <v>6.2364748515584285</v>
      </c>
      <c r="BB305" s="177">
        <v>6.0883102278577717</v>
      </c>
      <c r="BC305" s="177">
        <v>5.9269899009745455</v>
      </c>
      <c r="BD305" s="177">
        <v>5.7584072287021559</v>
      </c>
      <c r="BE305" s="177">
        <v>5.5823426677337258</v>
      </c>
      <c r="BF305" s="177">
        <v>5.3929025699202917</v>
      </c>
      <c r="BG305" s="177">
        <v>5.2100093717435074</v>
      </c>
      <c r="BH305" s="177">
        <v>5.016922450334337</v>
      </c>
      <c r="BI305" s="177">
        <v>4.8135260472814654</v>
      </c>
      <c r="BJ305" s="177">
        <v>4.6026142739692979</v>
      </c>
      <c r="BK305" s="177">
        <v>4.3782540397189749</v>
      </c>
      <c r="BL305" s="177">
        <v>4.1432338236460104</v>
      </c>
      <c r="BM305" s="177">
        <v>3.9004216325312111</v>
      </c>
      <c r="BN305" s="177">
        <v>3.6437283308478086</v>
      </c>
      <c r="BO305" s="177">
        <v>3.3759698418710764</v>
      </c>
      <c r="BP305" s="177">
        <v>3.0971361263739641</v>
      </c>
      <c r="BQ305" s="177">
        <v>2.8040671188903947</v>
      </c>
      <c r="BR305" s="177">
        <v>2.5026161568357534</v>
      </c>
      <c r="BS305" s="177">
        <v>2.1866614023722972</v>
      </c>
      <c r="BT305" s="177">
        <v>1.8561559750488237</v>
      </c>
      <c r="BU305" s="177">
        <v>1.5139310179584928</v>
      </c>
    </row>
    <row r="306" spans="1:73" s="112" customFormat="1" ht="18" customHeight="1" x14ac:dyDescent="0.35">
      <c r="A306" s="178" t="s">
        <v>436</v>
      </c>
      <c r="B306" s="109" t="str">
        <f>A306&amp;" WEM"</f>
        <v>2C2Emissions (ETS)kt CO2eq WEM</v>
      </c>
      <c r="C306" s="175" t="s">
        <v>48</v>
      </c>
      <c r="D306" s="15" t="s">
        <v>39</v>
      </c>
      <c r="E306" s="17" t="s">
        <v>156</v>
      </c>
      <c r="F306" s="22"/>
      <c r="G306" s="16" t="str">
        <f>$G$5</f>
        <v>Þús. tonn CO₂-íg. | kt CO₂e</v>
      </c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352"/>
      <c r="AP306" s="352">
        <f>AP300</f>
        <v>522.51012450550002</v>
      </c>
      <c r="AQ306" s="15">
        <v>397.90782445710789</v>
      </c>
      <c r="AR306" s="15">
        <v>503.44329433327846</v>
      </c>
      <c r="AS306" s="15">
        <v>498.44329433327846</v>
      </c>
      <c r="AT306" s="15">
        <v>493.44329433327846</v>
      </c>
      <c r="AU306" s="15">
        <v>493.44329433327846</v>
      </c>
      <c r="AV306" s="15">
        <v>493.44329433327846</v>
      </c>
      <c r="AW306" s="15">
        <v>493.44329433327846</v>
      </c>
      <c r="AX306" s="15">
        <v>493.44329433327846</v>
      </c>
      <c r="AY306" s="15">
        <v>493.44329433327846</v>
      </c>
      <c r="AZ306" s="15">
        <v>493.44329433327846</v>
      </c>
      <c r="BA306" s="15">
        <v>493.44329433327846</v>
      </c>
      <c r="BB306" s="15">
        <v>493.44329433327846</v>
      </c>
      <c r="BC306" s="15">
        <v>493.44329433327846</v>
      </c>
      <c r="BD306" s="15">
        <v>493.44329433327846</v>
      </c>
      <c r="BE306" s="15">
        <v>493.44329433327846</v>
      </c>
      <c r="BF306" s="15">
        <v>493.44329433327846</v>
      </c>
      <c r="BG306" s="15">
        <v>493.44329433327846</v>
      </c>
      <c r="BH306" s="15">
        <v>493.44329433327846</v>
      </c>
      <c r="BI306" s="15">
        <v>493.44329433327846</v>
      </c>
      <c r="BJ306" s="15">
        <v>493.44329433327846</v>
      </c>
      <c r="BK306" s="15">
        <v>493.44329433327846</v>
      </c>
      <c r="BL306" s="15">
        <v>493.44329433327846</v>
      </c>
      <c r="BM306" s="15">
        <v>493.44329433327846</v>
      </c>
      <c r="BN306" s="15">
        <v>493.44329433327846</v>
      </c>
      <c r="BO306" s="15">
        <v>493.44329433327846</v>
      </c>
      <c r="BP306" s="15">
        <v>493.44329433327846</v>
      </c>
      <c r="BQ306" s="15">
        <v>493.44329433327846</v>
      </c>
      <c r="BR306" s="15">
        <v>493.44329433327846</v>
      </c>
      <c r="BS306" s="15">
        <v>493.44329433327846</v>
      </c>
      <c r="BT306" s="15">
        <v>493.44329433327846</v>
      </c>
      <c r="BU306" s="15">
        <v>493.44329433327846</v>
      </c>
    </row>
    <row r="307" spans="1:73" s="143" customFormat="1" ht="18" customHeight="1" x14ac:dyDescent="0.35">
      <c r="A307" s="178" t="s">
        <v>437</v>
      </c>
      <c r="B307" s="109" t="str">
        <f>A307&amp;" WEM"</f>
        <v>2C3Emissions (ETS)kt CO2eq WEM</v>
      </c>
      <c r="C307" s="175" t="s">
        <v>48</v>
      </c>
      <c r="D307" s="15" t="s">
        <v>15</v>
      </c>
      <c r="E307" s="17" t="s">
        <v>155</v>
      </c>
      <c r="F307" s="22"/>
      <c r="G307" s="16" t="str">
        <f>$G$5</f>
        <v>Þús. tonn CO₂-íg. | kt CO₂e</v>
      </c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352"/>
      <c r="AP307" s="352">
        <f>AP301</f>
        <v>1360.4116549515916</v>
      </c>
      <c r="AQ307" s="15">
        <v>1403.4967820431357</v>
      </c>
      <c r="AR307" s="15">
        <v>1417.4362746475686</v>
      </c>
      <c r="AS307" s="15">
        <v>1421.9002336039064</v>
      </c>
      <c r="AT307" s="15">
        <v>1427.3247586040311</v>
      </c>
      <c r="AU307" s="15">
        <v>1426.835419993906</v>
      </c>
      <c r="AV307" s="15">
        <v>1427.1817869384317</v>
      </c>
      <c r="AW307" s="15">
        <v>1427.3534644674573</v>
      </c>
      <c r="AX307" s="15">
        <v>1428.4031069036932</v>
      </c>
      <c r="AY307" s="15">
        <v>1427.6998314119826</v>
      </c>
      <c r="AZ307" s="15">
        <v>1427.8730148842455</v>
      </c>
      <c r="BA307" s="15">
        <v>1427.8730148842455</v>
      </c>
      <c r="BB307" s="15">
        <v>1432.9811743443784</v>
      </c>
      <c r="BC307" s="15">
        <v>1432.0926678345086</v>
      </c>
      <c r="BD307" s="15">
        <v>1432.0926678345086</v>
      </c>
      <c r="BE307" s="15">
        <v>1432.0926678345086</v>
      </c>
      <c r="BF307" s="15">
        <v>1432.9811743443784</v>
      </c>
      <c r="BG307" s="15">
        <v>1432.0926678345086</v>
      </c>
      <c r="BH307" s="15">
        <v>1432.0926678345086</v>
      </c>
      <c r="BI307" s="15">
        <v>1432.0926678345086</v>
      </c>
      <c r="BJ307" s="15">
        <v>1432.9811743443784</v>
      </c>
      <c r="BK307" s="15">
        <v>1432.0926678345086</v>
      </c>
      <c r="BL307" s="15">
        <v>1432.0926678345086</v>
      </c>
      <c r="BM307" s="15">
        <v>1432.0926678345086</v>
      </c>
      <c r="BN307" s="15">
        <v>1432.9811743443784</v>
      </c>
      <c r="BO307" s="15">
        <v>1432.0926678345086</v>
      </c>
      <c r="BP307" s="15">
        <v>1432.0926678345086</v>
      </c>
      <c r="BQ307" s="15">
        <v>1432.0926678345086</v>
      </c>
      <c r="BR307" s="15">
        <v>1432.9811743443784</v>
      </c>
      <c r="BS307" s="15">
        <v>1432.0926678345086</v>
      </c>
      <c r="BT307" s="15">
        <v>1432.0926678345086</v>
      </c>
      <c r="BU307" s="15">
        <v>1432.0926678345086</v>
      </c>
    </row>
    <row r="308" spans="1:73" s="8" customFormat="1" ht="18" customHeight="1" x14ac:dyDescent="0.4">
      <c r="A308" s="178" t="s">
        <v>90</v>
      </c>
      <c r="B308" s="109" t="str">
        <f>A308&amp;" WEM"</f>
        <v>ETS TotalGHGskt CO2eq WEM</v>
      </c>
      <c r="C308" s="175" t="s">
        <v>48</v>
      </c>
      <c r="D308" s="22" t="s">
        <v>135</v>
      </c>
      <c r="E308" s="22"/>
      <c r="F308" s="22"/>
      <c r="G308" s="23" t="str">
        <f>$G$5</f>
        <v>Þús. tonn CO₂-íg. | kt CO₂e</v>
      </c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352"/>
      <c r="AP308" s="352">
        <f>AP302</f>
        <v>1889.154</v>
      </c>
      <c r="AQ308" s="179">
        <v>1808.7265918583689</v>
      </c>
      <c r="AR308" s="179">
        <v>1928.0982980092228</v>
      </c>
      <c r="AS308" s="179">
        <v>1927.4720383388697</v>
      </c>
      <c r="AT308" s="179">
        <v>1927.8089241984314</v>
      </c>
      <c r="AU308" s="179">
        <v>1927.2391980734856</v>
      </c>
      <c r="AV308" s="179">
        <v>1927.4966690724798</v>
      </c>
      <c r="AW308" s="179">
        <v>1927.5655156692992</v>
      </c>
      <c r="AX308" s="179">
        <v>1928.4989122192742</v>
      </c>
      <c r="AY308" s="179">
        <v>1927.6702422999997</v>
      </c>
      <c r="AZ308" s="179">
        <v>1927.7034015444303</v>
      </c>
      <c r="BA308" s="179">
        <v>1927.5527840690825</v>
      </c>
      <c r="BB308" s="179">
        <v>1932.5127789055146</v>
      </c>
      <c r="BC308" s="179">
        <v>1931.4629520687615</v>
      </c>
      <c r="BD308" s="179">
        <v>1931.2943693964892</v>
      </c>
      <c r="BE308" s="179">
        <v>1931.1183048355206</v>
      </c>
      <c r="BF308" s="179">
        <v>1931.8173712475771</v>
      </c>
      <c r="BG308" s="179">
        <v>1930.7459715395305</v>
      </c>
      <c r="BH308" s="179">
        <v>1930.5528846181212</v>
      </c>
      <c r="BI308" s="179">
        <v>1930.3494882150683</v>
      </c>
      <c r="BJ308" s="179">
        <v>1931.027082951626</v>
      </c>
      <c r="BK308" s="179">
        <v>1929.9142162075059</v>
      </c>
      <c r="BL308" s="179">
        <v>1929.6791959914328</v>
      </c>
      <c r="BM308" s="179">
        <v>1929.436383800318</v>
      </c>
      <c r="BN308" s="179">
        <v>1930.0681970085045</v>
      </c>
      <c r="BO308" s="179">
        <v>1928.9119320096579</v>
      </c>
      <c r="BP308" s="179">
        <v>1928.6330982941608</v>
      </c>
      <c r="BQ308" s="179">
        <v>1928.3400292866772</v>
      </c>
      <c r="BR308" s="179">
        <v>1928.9270848344925</v>
      </c>
      <c r="BS308" s="179">
        <v>1927.7226235701592</v>
      </c>
      <c r="BT308" s="179">
        <v>1927.3921181428357</v>
      </c>
      <c r="BU308" s="179">
        <v>1927.0498931857453</v>
      </c>
    </row>
    <row r="309" spans="1:73" s="143" customFormat="1" ht="15" customHeight="1" x14ac:dyDescent="0.4">
      <c r="A309" s="114"/>
      <c r="B309" s="109"/>
      <c r="C309" s="115"/>
      <c r="D309" s="69"/>
      <c r="E309" s="69"/>
      <c r="F309" s="69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80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</row>
    <row r="310" spans="1:73" s="686" customFormat="1" ht="42.6" customHeight="1" x14ac:dyDescent="0.7">
      <c r="A310" s="680"/>
      <c r="B310" s="681" t="s">
        <v>48</v>
      </c>
      <c r="C310" s="682"/>
      <c r="D310" s="683" t="s">
        <v>199</v>
      </c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5"/>
      <c r="X310" s="685"/>
      <c r="Y310" s="685"/>
      <c r="Z310" s="685"/>
      <c r="AA310" s="685"/>
      <c r="AB310" s="685"/>
      <c r="AC310" s="685"/>
      <c r="AD310" s="685"/>
      <c r="AE310" s="685"/>
      <c r="AF310" s="685"/>
      <c r="AG310" s="685"/>
      <c r="AH310" s="685"/>
      <c r="AI310" s="685"/>
      <c r="AJ310" s="685"/>
      <c r="AK310" s="685"/>
      <c r="AL310" s="685"/>
      <c r="AM310" s="685"/>
    </row>
    <row r="311" spans="1:73" s="695" customFormat="1" ht="37.200000000000003" customHeight="1" x14ac:dyDescent="0.4">
      <c r="A311" s="687"/>
      <c r="B311" s="688"/>
      <c r="C311" s="689"/>
      <c r="D311" s="690"/>
      <c r="E311" s="691"/>
      <c r="F311" s="691"/>
      <c r="G311" s="691"/>
      <c r="H311" s="691"/>
      <c r="I311" s="691"/>
      <c r="J311" s="691"/>
      <c r="K311" s="691"/>
      <c r="L311" s="691"/>
      <c r="M311" s="691"/>
      <c r="N311" s="691"/>
      <c r="O311" s="691"/>
      <c r="P311" s="691"/>
      <c r="Q311" s="691"/>
      <c r="R311" s="691"/>
      <c r="S311" s="691"/>
      <c r="T311" s="691"/>
      <c r="U311" s="691"/>
      <c r="V311" s="691"/>
      <c r="W311" s="692"/>
      <c r="X311" s="693"/>
      <c r="Y311" s="693"/>
      <c r="Z311" s="693"/>
      <c r="AA311" s="693"/>
      <c r="AB311" s="693"/>
      <c r="AC311" s="693"/>
      <c r="AD311" s="693"/>
      <c r="AE311" s="693"/>
      <c r="AF311" s="693"/>
      <c r="AG311" s="693"/>
      <c r="AH311" s="693"/>
      <c r="AI311" s="693"/>
      <c r="AJ311" s="693"/>
      <c r="AK311" s="693"/>
      <c r="AL311" s="693"/>
      <c r="AM311" s="693"/>
      <c r="AN311" s="693"/>
      <c r="AO311" s="693"/>
      <c r="AP311" s="693"/>
      <c r="AQ311" s="693"/>
      <c r="AR311" s="693"/>
      <c r="AS311" s="693"/>
      <c r="AT311" s="693"/>
      <c r="AU311" s="693"/>
      <c r="AV311" s="694"/>
      <c r="AW311" s="693"/>
      <c r="AX311" s="693"/>
      <c r="AY311" s="693"/>
      <c r="AZ311" s="693"/>
      <c r="BA311" s="693"/>
      <c r="BB311" s="693"/>
      <c r="BC311" s="693"/>
      <c r="BD311" s="693"/>
      <c r="BE311" s="693"/>
      <c r="BF311" s="693"/>
      <c r="BG311" s="693"/>
      <c r="BH311" s="693"/>
      <c r="BI311" s="693"/>
      <c r="BJ311" s="693"/>
      <c r="BK311" s="693"/>
      <c r="BL311" s="693"/>
      <c r="BM311" s="693"/>
      <c r="BN311" s="693"/>
      <c r="BO311" s="693"/>
      <c r="BP311" s="693"/>
      <c r="BQ311" s="693"/>
      <c r="BR311" s="693"/>
      <c r="BS311" s="693"/>
      <c r="BT311" s="693"/>
      <c r="BU311" s="693"/>
    </row>
    <row r="312" spans="1:73" s="171" customFormat="1" ht="15" customHeight="1" x14ac:dyDescent="0.4">
      <c r="A312" s="108"/>
      <c r="B312" s="109" t="s">
        <v>48</v>
      </c>
      <c r="C312" s="115"/>
      <c r="D312" s="1018" t="str">
        <f>$D$4</f>
        <v>Söguleg losun</v>
      </c>
      <c r="E312" s="1018" t="s">
        <v>398</v>
      </c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</row>
    <row r="313" spans="1:73" s="112" customFormat="1" ht="18" customHeight="1" x14ac:dyDescent="0.35">
      <c r="A313" s="108" t="s">
        <v>80</v>
      </c>
      <c r="B313" s="109" t="str">
        <f t="shared" ref="B313:B318" si="68">A313</f>
        <v>4.A Forest Landkt CO2-eq</v>
      </c>
      <c r="C313" s="115" t="s">
        <v>48</v>
      </c>
      <c r="D313" s="15" t="s">
        <v>96</v>
      </c>
      <c r="E313" s="14" t="s">
        <v>204</v>
      </c>
      <c r="F313" s="22"/>
      <c r="G313" s="16" t="str">
        <f t="shared" ref="G313:G318" si="69">$G$5</f>
        <v>Þús. tonn CO₂-íg. | kt CO₂e</v>
      </c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7">
        <v>-140.28204095274921</v>
      </c>
      <c r="X313" s="17">
        <v>-146.81774655664805</v>
      </c>
      <c r="Y313" s="17">
        <v>-264.47854572721633</v>
      </c>
      <c r="Z313" s="17">
        <v>-268.08746225872557</v>
      </c>
      <c r="AA313" s="17">
        <v>-280.87754917577922</v>
      </c>
      <c r="AB313" s="17">
        <v>-303.68840042964337</v>
      </c>
      <c r="AC313" s="17">
        <v>-330.84581677793614</v>
      </c>
      <c r="AD313" s="17">
        <v>-342.21432682575522</v>
      </c>
      <c r="AE313" s="17">
        <v>-359.91628608211477</v>
      </c>
      <c r="AF313" s="17">
        <v>-383.52589373647049</v>
      </c>
      <c r="AG313" s="17">
        <v>-408.54263384940219</v>
      </c>
      <c r="AH313" s="17">
        <v>-432.62683889768022</v>
      </c>
      <c r="AI313" s="17">
        <v>-470.56708519521641</v>
      </c>
      <c r="AJ313" s="17">
        <v>-500.12980413754889</v>
      </c>
      <c r="AK313" s="17">
        <v>-501.28650208770966</v>
      </c>
      <c r="AL313" s="17">
        <v>-504.69423725886224</v>
      </c>
      <c r="AM313" s="17">
        <v>-505.29940535846055</v>
      </c>
      <c r="AN313" s="17">
        <v>-533.97896730846287</v>
      </c>
      <c r="AO313" s="17">
        <v>-553.69612674802886</v>
      </c>
      <c r="AP313" s="17">
        <v>-548.98804168208767</v>
      </c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</row>
    <row r="314" spans="1:73" s="112" customFormat="1" ht="18" customHeight="1" x14ac:dyDescent="0.4">
      <c r="A314" s="108" t="s">
        <v>81</v>
      </c>
      <c r="B314" s="109" t="str">
        <f t="shared" si="68"/>
        <v>4.B Croplandkt CO2-eq</v>
      </c>
      <c r="C314" s="115" t="s">
        <v>48</v>
      </c>
      <c r="D314" s="15" t="s">
        <v>122</v>
      </c>
      <c r="E314" s="14" t="s">
        <v>148</v>
      </c>
      <c r="F314" s="22"/>
      <c r="G314" s="16" t="str">
        <f t="shared" si="69"/>
        <v>Þús. tonn CO₂-íg. | kt CO₂e</v>
      </c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5">
        <v>1563.4399030920138</v>
      </c>
      <c r="X314" s="15">
        <v>1566.2413539907488</v>
      </c>
      <c r="Y314" s="15">
        <v>1569.1355796042599</v>
      </c>
      <c r="Z314" s="15">
        <v>1572.1538957975692</v>
      </c>
      <c r="AA314" s="15">
        <v>1640.9728213647359</v>
      </c>
      <c r="AB314" s="15">
        <v>1658.6283984555371</v>
      </c>
      <c r="AC314" s="15">
        <v>1676.2742755908178</v>
      </c>
      <c r="AD314" s="15">
        <v>1693.9105980506627</v>
      </c>
      <c r="AE314" s="15">
        <v>1711.5375078755421</v>
      </c>
      <c r="AF314" s="15">
        <v>1729.1551439619402</v>
      </c>
      <c r="AG314" s="15">
        <v>1746.6562663834591</v>
      </c>
      <c r="AH314" s="15">
        <v>1764.3644921751113</v>
      </c>
      <c r="AI314" s="15">
        <v>1781.9565204297353</v>
      </c>
      <c r="AJ314" s="15">
        <v>1799.5383180401809</v>
      </c>
      <c r="AK314" s="15">
        <v>1817.1122266206387</v>
      </c>
      <c r="AL314" s="15">
        <v>1834.7227834359535</v>
      </c>
      <c r="AM314" s="15">
        <v>1852.234644758727</v>
      </c>
      <c r="AN314" s="15">
        <v>1869.7833905322866</v>
      </c>
      <c r="AO314" s="15">
        <v>1887.3239808308297</v>
      </c>
      <c r="AP314" s="15">
        <v>1904.8811133888019</v>
      </c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</row>
    <row r="315" spans="1:73" s="112" customFormat="1" ht="18" customHeight="1" x14ac:dyDescent="0.4">
      <c r="A315" s="108" t="s">
        <v>82</v>
      </c>
      <c r="B315" s="109" t="str">
        <f t="shared" si="68"/>
        <v>4.C Grasslandkt CO2-eq</v>
      </c>
      <c r="C315" s="115" t="s">
        <v>48</v>
      </c>
      <c r="D315" s="15" t="s">
        <v>29</v>
      </c>
      <c r="E315" s="14" t="s">
        <v>149</v>
      </c>
      <c r="F315" s="22"/>
      <c r="G315" s="16" t="str">
        <f t="shared" si="69"/>
        <v>Þús. tonn CO₂-íg. | kt CO₂e</v>
      </c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5">
        <v>4771.8795387154896</v>
      </c>
      <c r="X315" s="15">
        <v>4823.6563419665035</v>
      </c>
      <c r="Y315" s="15">
        <v>4843.2606676302394</v>
      </c>
      <c r="Z315" s="15">
        <v>4885.6458634096471</v>
      </c>
      <c r="AA315" s="15">
        <v>4885.3733566273222</v>
      </c>
      <c r="AB315" s="15">
        <v>4881.5879670922513</v>
      </c>
      <c r="AC315" s="15">
        <v>4877.6177554925289</v>
      </c>
      <c r="AD315" s="15">
        <v>4878.029011281249</v>
      </c>
      <c r="AE315" s="15">
        <v>4880.9033315529623</v>
      </c>
      <c r="AF315" s="15">
        <v>4882.319533357203</v>
      </c>
      <c r="AG315" s="15">
        <v>4882.978047316351</v>
      </c>
      <c r="AH315" s="15">
        <v>4875.5242323189395</v>
      </c>
      <c r="AI315" s="15">
        <v>4870.6343674409245</v>
      </c>
      <c r="AJ315" s="15">
        <v>4872.6972880127632</v>
      </c>
      <c r="AK315" s="15">
        <v>4871.781256458703</v>
      </c>
      <c r="AL315" s="15">
        <v>4868.024972057302</v>
      </c>
      <c r="AM315" s="15">
        <v>4857.982408442489</v>
      </c>
      <c r="AN315" s="15">
        <v>4855.9910192634225</v>
      </c>
      <c r="AO315" s="15">
        <v>4865.3819725633139</v>
      </c>
      <c r="AP315" s="15">
        <v>4860.0545959973206</v>
      </c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</row>
    <row r="316" spans="1:73" s="112" customFormat="1" ht="18" customHeight="1" x14ac:dyDescent="0.4">
      <c r="A316" s="108" t="s">
        <v>83</v>
      </c>
      <c r="B316" s="109" t="str">
        <f t="shared" si="68"/>
        <v>4.D Wetlandskt CO2-eq</v>
      </c>
      <c r="C316" s="115" t="s">
        <v>48</v>
      </c>
      <c r="D316" s="15" t="s">
        <v>30</v>
      </c>
      <c r="E316" s="14" t="s">
        <v>150</v>
      </c>
      <c r="F316" s="22"/>
      <c r="G316" s="16" t="str">
        <f t="shared" si="69"/>
        <v>Þús. tonn CO₂-íg. | kt CO₂e</v>
      </c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5">
        <v>19.443936711289375</v>
      </c>
      <c r="X316" s="15">
        <v>21.607283726639984</v>
      </c>
      <c r="Y316" s="15">
        <v>20.494161746475509</v>
      </c>
      <c r="Z316" s="15">
        <v>20.538561427768151</v>
      </c>
      <c r="AA316" s="15">
        <v>21.029356724496331</v>
      </c>
      <c r="AB316" s="15">
        <v>21.158290146896274</v>
      </c>
      <c r="AC316" s="15">
        <v>15.686390391163</v>
      </c>
      <c r="AD316" s="15">
        <v>15.723695057829669</v>
      </c>
      <c r="AE316" s="15">
        <v>15.804207057829668</v>
      </c>
      <c r="AF316" s="15">
        <v>16.069981783977877</v>
      </c>
      <c r="AG316" s="15">
        <v>16.181055815110266</v>
      </c>
      <c r="AH316" s="15">
        <v>14.727682777528623</v>
      </c>
      <c r="AI316" s="15">
        <v>14.859338689513955</v>
      </c>
      <c r="AJ316" s="15">
        <v>14.79376238468563</v>
      </c>
      <c r="AK316" s="15">
        <v>15.279062184685632</v>
      </c>
      <c r="AL316" s="15">
        <v>16.320244942284972</v>
      </c>
      <c r="AM316" s="15">
        <v>16.762905784685628</v>
      </c>
      <c r="AN316" s="15">
        <v>17.110517451352298</v>
      </c>
      <c r="AO316" s="15">
        <v>17.149517784685631</v>
      </c>
      <c r="AP316" s="15">
        <v>17.217344451352297</v>
      </c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</row>
    <row r="317" spans="1:73" s="112" customFormat="1" ht="18" customHeight="1" x14ac:dyDescent="0.4">
      <c r="A317" s="108" t="s">
        <v>97</v>
      </c>
      <c r="B317" s="109" t="str">
        <f t="shared" si="68"/>
        <v>LULUCF Annað</v>
      </c>
      <c r="C317" s="115" t="s">
        <v>48</v>
      </c>
      <c r="D317" s="15" t="s">
        <v>11</v>
      </c>
      <c r="E317" s="14" t="s">
        <v>138</v>
      </c>
      <c r="F317" s="22"/>
      <c r="G317" s="16" t="str">
        <f t="shared" si="69"/>
        <v>Þús. tonn CO₂-íg. | kt CO₂e</v>
      </c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5">
        <f t="shared" ref="W317:AP317" si="70">W$318-SUM(W$313:W$316)</f>
        <v>53.672918831046445</v>
      </c>
      <c r="X317" s="15">
        <f t="shared" si="70"/>
        <v>56.265616460788806</v>
      </c>
      <c r="Y317" s="15">
        <f t="shared" si="70"/>
        <v>57.341054642999552</v>
      </c>
      <c r="Z317" s="15">
        <f t="shared" si="70"/>
        <v>59.329407971697947</v>
      </c>
      <c r="AA317" s="15">
        <f t="shared" si="70"/>
        <v>58.939164801193328</v>
      </c>
      <c r="AB317" s="15">
        <f t="shared" si="70"/>
        <v>42.473632670051302</v>
      </c>
      <c r="AC317" s="15">
        <f t="shared" si="70"/>
        <v>40.560838411172881</v>
      </c>
      <c r="AD317" s="15">
        <f t="shared" si="70"/>
        <v>38.715807594459875</v>
      </c>
      <c r="AE317" s="15">
        <f t="shared" si="70"/>
        <v>36.856630708463854</v>
      </c>
      <c r="AF317" s="15">
        <f t="shared" si="70"/>
        <v>34.92747633252111</v>
      </c>
      <c r="AG317" s="15">
        <f t="shared" si="70"/>
        <v>33.169603181597267</v>
      </c>
      <c r="AH317" s="15">
        <f t="shared" si="70"/>
        <v>31.247066266931142</v>
      </c>
      <c r="AI317" s="15">
        <f t="shared" si="70"/>
        <v>29.321348666985614</v>
      </c>
      <c r="AJ317" s="15">
        <f t="shared" si="70"/>
        <v>27.547276828450777</v>
      </c>
      <c r="AK317" s="15">
        <f t="shared" si="70"/>
        <v>25.7331075985403</v>
      </c>
      <c r="AL317" s="15">
        <f t="shared" si="70"/>
        <v>35.585424011811483</v>
      </c>
      <c r="AM317" s="15">
        <f t="shared" si="70"/>
        <v>35.567014608194768</v>
      </c>
      <c r="AN317" s="15">
        <f t="shared" si="70"/>
        <v>34.508037343625801</v>
      </c>
      <c r="AO317" s="15">
        <f t="shared" si="70"/>
        <v>30.845585397018112</v>
      </c>
      <c r="AP317" s="15">
        <f t="shared" si="70"/>
        <v>35.557848980364724</v>
      </c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</row>
    <row r="318" spans="1:73" s="112" customFormat="1" ht="18" customHeight="1" x14ac:dyDescent="0.4">
      <c r="A318" s="108" t="s">
        <v>45</v>
      </c>
      <c r="B318" s="109" t="str">
        <f t="shared" si="68"/>
        <v>4. LULUCFkt CO2-eq</v>
      </c>
      <c r="C318" s="115" t="s">
        <v>48</v>
      </c>
      <c r="D318" s="22" t="s">
        <v>135</v>
      </c>
      <c r="E318" s="22"/>
      <c r="F318" s="22"/>
      <c r="G318" s="23" t="str">
        <f t="shared" si="69"/>
        <v>Þús. tonn CO₂-íg. | kt CO₂e</v>
      </c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22">
        <v>6268.1542563970897</v>
      </c>
      <c r="X318" s="22">
        <v>6320.9528495880331</v>
      </c>
      <c r="Y318" s="22">
        <v>6225.7529178967579</v>
      </c>
      <c r="Z318" s="22">
        <v>6269.5802663479571</v>
      </c>
      <c r="AA318" s="22">
        <v>6325.4371503419688</v>
      </c>
      <c r="AB318" s="22">
        <v>6300.1598879350922</v>
      </c>
      <c r="AC318" s="22">
        <v>6279.2934431077456</v>
      </c>
      <c r="AD318" s="22">
        <v>6284.1647851584466</v>
      </c>
      <c r="AE318" s="22">
        <v>6285.1853911126827</v>
      </c>
      <c r="AF318" s="22">
        <v>6278.9462416991719</v>
      </c>
      <c r="AG318" s="22">
        <v>6270.442338847115</v>
      </c>
      <c r="AH318" s="22">
        <v>6253.2366346408298</v>
      </c>
      <c r="AI318" s="22">
        <v>6226.2044900319424</v>
      </c>
      <c r="AJ318" s="22">
        <v>6214.4468411285316</v>
      </c>
      <c r="AK318" s="22">
        <v>6228.6191507748572</v>
      </c>
      <c r="AL318" s="22">
        <v>6249.9591871884904</v>
      </c>
      <c r="AM318" s="22">
        <v>6257.2475682356353</v>
      </c>
      <c r="AN318" s="22">
        <v>6243.413997282224</v>
      </c>
      <c r="AO318" s="22">
        <v>6247.0049298278182</v>
      </c>
      <c r="AP318" s="22">
        <v>6268.7228611357514</v>
      </c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</row>
    <row r="319" spans="1:73" s="8" customFormat="1" x14ac:dyDescent="0.4">
      <c r="A319" s="108"/>
      <c r="B319" s="114"/>
      <c r="C319" s="144"/>
    </row>
    <row r="320" spans="1:73" s="171" customFormat="1" ht="30.6" customHeight="1" x14ac:dyDescent="0.4">
      <c r="A320" s="108"/>
      <c r="B320" s="109" t="s">
        <v>48</v>
      </c>
      <c r="C320" s="115"/>
      <c r="D320" s="1026" t="s">
        <v>445</v>
      </c>
      <c r="E320" s="1026" t="s">
        <v>446</v>
      </c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</row>
    <row r="321" spans="1:73" s="112" customFormat="1" ht="18" customHeight="1" x14ac:dyDescent="0.35">
      <c r="A321" s="108" t="s">
        <v>80</v>
      </c>
      <c r="B321" s="354" t="str">
        <f t="shared" ref="B321:B326" si="71">A321&amp;" WEM"</f>
        <v>4.A Forest Landkt CO2-eq WEM</v>
      </c>
      <c r="C321" s="115" t="s">
        <v>48</v>
      </c>
      <c r="D321" s="15" t="s">
        <v>96</v>
      </c>
      <c r="E321" s="14" t="s">
        <v>204</v>
      </c>
      <c r="F321" s="22"/>
      <c r="G321" s="16" t="str">
        <f t="shared" ref="G321:G326" si="72">$G$5</f>
        <v>Þús. tonn CO₂-íg. | kt CO₂e</v>
      </c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7">
        <v>-563.8687494991118</v>
      </c>
      <c r="AR321" s="17">
        <v>-582.05188080455719</v>
      </c>
      <c r="AS321" s="17">
        <v>-602.08454630966617</v>
      </c>
      <c r="AT321" s="17">
        <v>-625.17238211862377</v>
      </c>
      <c r="AU321" s="17">
        <v>-651.37901684439203</v>
      </c>
      <c r="AV321" s="17">
        <v>-677.01960892627744</v>
      </c>
      <c r="AW321" s="17">
        <v>-707.2088143571566</v>
      </c>
      <c r="AX321" s="17">
        <v>-739.40279433922376</v>
      </c>
      <c r="AY321" s="17">
        <v>-776.34808185846498</v>
      </c>
      <c r="AZ321" s="17">
        <v>-815.38379941472351</v>
      </c>
      <c r="BA321" s="17">
        <v>-853.11427896222938</v>
      </c>
      <c r="BB321" s="17">
        <v>-897.55846825001834</v>
      </c>
      <c r="BC321" s="17">
        <v>-943.27226102375425</v>
      </c>
      <c r="BD321" s="17">
        <v>-990.47937781359042</v>
      </c>
      <c r="BE321" s="17">
        <v>-1041.8517947895577</v>
      </c>
      <c r="BF321" s="17">
        <v>-1093.0216366569603</v>
      </c>
      <c r="BG321" s="17">
        <v>-1149.8708226271706</v>
      </c>
      <c r="BH321" s="17">
        <v>-1207.6023359050157</v>
      </c>
      <c r="BI321" s="17">
        <v>-1270.2965527372173</v>
      </c>
      <c r="BJ321" s="17">
        <v>-1340.0128495860247</v>
      </c>
      <c r="BK321" s="17">
        <v>-1406.4827706837609</v>
      </c>
      <c r="BL321" s="17">
        <v>-1483.6677201425823</v>
      </c>
      <c r="BM321" s="17">
        <v>-1562.6731418497964</v>
      </c>
      <c r="BN321" s="17">
        <v>-1642.3378336028816</v>
      </c>
      <c r="BO321" s="17">
        <v>-1725.8067612564071</v>
      </c>
      <c r="BP321" s="17">
        <v>-1810.3313262768818</v>
      </c>
      <c r="BQ321" s="17">
        <v>-1900.6964094235045</v>
      </c>
      <c r="BR321" s="17">
        <v>-1986.4179372012429</v>
      </c>
      <c r="BS321" s="17">
        <v>-2074.8129906425515</v>
      </c>
      <c r="BT321" s="17">
        <v>-2167.669271317282</v>
      </c>
      <c r="BU321" s="17">
        <v>-2257.1864190459032</v>
      </c>
    </row>
    <row r="322" spans="1:73" s="112" customFormat="1" ht="18" customHeight="1" x14ac:dyDescent="0.35">
      <c r="A322" s="108" t="s">
        <v>81</v>
      </c>
      <c r="B322" s="354" t="str">
        <f t="shared" si="71"/>
        <v>4.B Croplandkt CO2-eq WEM</v>
      </c>
      <c r="C322" s="115" t="s">
        <v>48</v>
      </c>
      <c r="D322" s="15" t="s">
        <v>122</v>
      </c>
      <c r="E322" s="14" t="s">
        <v>148</v>
      </c>
      <c r="F322" s="22"/>
      <c r="G322" s="16" t="str">
        <f t="shared" si="72"/>
        <v>Þús. tonn CO₂-íg. | kt CO₂e</v>
      </c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7">
        <v>1922.4382459469305</v>
      </c>
      <c r="AR322" s="17">
        <v>1939.9953785050595</v>
      </c>
      <c r="AS322" s="17">
        <v>1957.5525110631884</v>
      </c>
      <c r="AT322" s="17">
        <v>1975.1096436213172</v>
      </c>
      <c r="AU322" s="17">
        <v>1991.8601497948134</v>
      </c>
      <c r="AV322" s="17">
        <v>2008.6106559683099</v>
      </c>
      <c r="AW322" s="17">
        <v>2025.3611621418061</v>
      </c>
      <c r="AX322" s="17">
        <v>2042.1116683153025</v>
      </c>
      <c r="AY322" s="17">
        <v>2058.8621744887987</v>
      </c>
      <c r="AZ322" s="17">
        <v>2075.612680662296</v>
      </c>
      <c r="BA322" s="17">
        <v>2092.363186835792</v>
      </c>
      <c r="BB322" s="17">
        <v>2109.113693009288</v>
      </c>
      <c r="BC322" s="17">
        <v>2125.8641991827849</v>
      </c>
      <c r="BD322" s="17">
        <v>2142.6147053562809</v>
      </c>
      <c r="BE322" s="17">
        <v>2159.3652115297773</v>
      </c>
      <c r="BF322" s="17">
        <v>2176.1157177032737</v>
      </c>
      <c r="BG322" s="17">
        <v>2192.8662238767706</v>
      </c>
      <c r="BH322" s="17">
        <v>2209.6167300502671</v>
      </c>
      <c r="BI322" s="17">
        <v>2226.3672362237635</v>
      </c>
      <c r="BJ322" s="17">
        <v>2243.1177423972599</v>
      </c>
      <c r="BK322" s="17">
        <v>2259.8682485707564</v>
      </c>
      <c r="BL322" s="17">
        <v>2276.6187547442523</v>
      </c>
      <c r="BM322" s="17">
        <v>2293.3692609177488</v>
      </c>
      <c r="BN322" s="17">
        <v>2310.1197670912452</v>
      </c>
      <c r="BO322" s="17">
        <v>2326.8702732647421</v>
      </c>
      <c r="BP322" s="17">
        <v>2343.6207794382385</v>
      </c>
      <c r="BQ322" s="17">
        <v>2360.3712856117349</v>
      </c>
      <c r="BR322" s="17">
        <v>2377.1217917852318</v>
      </c>
      <c r="BS322" s="17">
        <v>2393.8722979587278</v>
      </c>
      <c r="BT322" s="17">
        <v>2410.6228041322242</v>
      </c>
      <c r="BU322" s="17">
        <v>2427.3733103057207</v>
      </c>
    </row>
    <row r="323" spans="1:73" s="112" customFormat="1" ht="18" customHeight="1" x14ac:dyDescent="0.35">
      <c r="A323" s="108" t="s">
        <v>82</v>
      </c>
      <c r="B323" s="354" t="str">
        <f t="shared" si="71"/>
        <v>4.C Grasslandkt CO2-eq WEM</v>
      </c>
      <c r="C323" s="115" t="s">
        <v>48</v>
      </c>
      <c r="D323" s="15" t="s">
        <v>29</v>
      </c>
      <c r="E323" s="14" t="s">
        <v>149</v>
      </c>
      <c r="F323" s="22"/>
      <c r="G323" s="16" t="str">
        <f t="shared" si="72"/>
        <v>Þús. tonn CO₂-íg. | kt CO₂e</v>
      </c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7">
        <v>4836.9143527260048</v>
      </c>
      <c r="AR323" s="17">
        <v>4813.2726968130346</v>
      </c>
      <c r="AS323" s="17">
        <v>4791.4778180092662</v>
      </c>
      <c r="AT323" s="17">
        <v>4770.2054307530707</v>
      </c>
      <c r="AU323" s="17">
        <v>4748.8121028926353</v>
      </c>
      <c r="AV323" s="17">
        <v>4729.6144352061719</v>
      </c>
      <c r="AW323" s="17">
        <v>4710.2999066503462</v>
      </c>
      <c r="AX323" s="17">
        <v>4691.8010717854931</v>
      </c>
      <c r="AY323" s="17">
        <v>4676.9316282833288</v>
      </c>
      <c r="AZ323" s="17">
        <v>4667.7333969537494</v>
      </c>
      <c r="BA323" s="17">
        <v>4664.5392553188467</v>
      </c>
      <c r="BB323" s="17">
        <v>4661.3558811922112</v>
      </c>
      <c r="BC323" s="17">
        <v>4690.550413426452</v>
      </c>
      <c r="BD323" s="17">
        <v>4686.4640267345712</v>
      </c>
      <c r="BE323" s="17">
        <v>4682.4373327701205</v>
      </c>
      <c r="BF323" s="17">
        <v>4679.286963111339</v>
      </c>
      <c r="BG323" s="17">
        <v>4668.7478548848003</v>
      </c>
      <c r="BH323" s="17">
        <v>4656.6327262153291</v>
      </c>
      <c r="BI323" s="17">
        <v>4642.593538565462</v>
      </c>
      <c r="BJ323" s="17">
        <v>4629.4774460122771</v>
      </c>
      <c r="BK323" s="17">
        <v>4617.3609036820017</v>
      </c>
      <c r="BL323" s="17">
        <v>4604.9730815642679</v>
      </c>
      <c r="BM323" s="17">
        <v>4592.1740437031222</v>
      </c>
      <c r="BN323" s="17">
        <v>4580.0433481107348</v>
      </c>
      <c r="BO323" s="17">
        <v>4566.405205547785</v>
      </c>
      <c r="BP323" s="17">
        <v>4547.3341577180036</v>
      </c>
      <c r="BQ323" s="17">
        <v>4528.8298710532117</v>
      </c>
      <c r="BR323" s="17">
        <v>4512.0873797809654</v>
      </c>
      <c r="BS323" s="17">
        <v>4493.6891149872854</v>
      </c>
      <c r="BT323" s="17">
        <v>4478.5765973639618</v>
      </c>
      <c r="BU323" s="17">
        <v>4465.4452343159064</v>
      </c>
    </row>
    <row r="324" spans="1:73" s="112" customFormat="1" ht="18" customHeight="1" x14ac:dyDescent="0.35">
      <c r="A324" s="108" t="s">
        <v>83</v>
      </c>
      <c r="B324" s="354" t="str">
        <f t="shared" si="71"/>
        <v>4.D Wetlandskt CO2-eq WEM</v>
      </c>
      <c r="C324" s="115" t="s">
        <v>48</v>
      </c>
      <c r="D324" s="15" t="s">
        <v>30</v>
      </c>
      <c r="E324" s="14" t="s">
        <v>150</v>
      </c>
      <c r="F324" s="22"/>
      <c r="G324" s="16" t="str">
        <f t="shared" si="72"/>
        <v>Þús. tonn CO₂-íg. | kt CO₂e</v>
      </c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7">
        <v>19.455624451352293</v>
      </c>
      <c r="AR324" s="17">
        <v>21.693904451352296</v>
      </c>
      <c r="AS324" s="17">
        <v>23.440959429410789</v>
      </c>
      <c r="AT324" s="17">
        <v>25.679239429410785</v>
      </c>
      <c r="AU324" s="17">
        <v>27.73304284674947</v>
      </c>
      <c r="AV324" s="17">
        <v>29.91027884674947</v>
      </c>
      <c r="AW324" s="17">
        <v>32.084288180082808</v>
      </c>
      <c r="AX324" s="17">
        <v>34.261524180082802</v>
      </c>
      <c r="AY324" s="17">
        <v>36.438760180082809</v>
      </c>
      <c r="AZ324" s="17">
        <v>38.496479564743559</v>
      </c>
      <c r="BA324" s="17">
        <v>40.673715564743553</v>
      </c>
      <c r="BB324" s="17">
        <v>42.84170257974354</v>
      </c>
      <c r="BC324" s="17">
        <v>45.018938579743562</v>
      </c>
      <c r="BD324" s="17">
        <v>47.196174579743563</v>
      </c>
      <c r="BE324" s="17">
        <v>49.373410579743549</v>
      </c>
      <c r="BF324" s="17">
        <v>51.550646579743542</v>
      </c>
      <c r="BG324" s="17">
        <v>53.727882579743522</v>
      </c>
      <c r="BH324" s="17">
        <v>55.905118579743544</v>
      </c>
      <c r="BI324" s="17">
        <v>58.082354579743551</v>
      </c>
      <c r="BJ324" s="17">
        <v>60.259590579743538</v>
      </c>
      <c r="BK324" s="17">
        <v>62.436826579743553</v>
      </c>
      <c r="BL324" s="17">
        <v>64.614062579743546</v>
      </c>
      <c r="BM324" s="17">
        <v>66.791298579743525</v>
      </c>
      <c r="BN324" s="17">
        <v>68.968534579743562</v>
      </c>
      <c r="BO324" s="17">
        <v>71.145770579743555</v>
      </c>
      <c r="BP324" s="17">
        <v>73.323006579743549</v>
      </c>
      <c r="BQ324" s="17">
        <v>75.500242579743556</v>
      </c>
      <c r="BR324" s="17">
        <v>77.67747857974355</v>
      </c>
      <c r="BS324" s="17">
        <v>79.854714579743558</v>
      </c>
      <c r="BT324" s="17">
        <v>82.031950579743551</v>
      </c>
      <c r="BU324" s="17">
        <v>84.209186579743545</v>
      </c>
    </row>
    <row r="325" spans="1:73" s="112" customFormat="1" ht="18" customHeight="1" x14ac:dyDescent="0.4">
      <c r="A325" s="108" t="s">
        <v>97</v>
      </c>
      <c r="B325" s="354" t="str">
        <f t="shared" si="71"/>
        <v>LULUCF Annað WEM</v>
      </c>
      <c r="C325" s="115" t="s">
        <v>48</v>
      </c>
      <c r="D325" s="15" t="s">
        <v>11</v>
      </c>
      <c r="E325" s="14" t="s">
        <v>138</v>
      </c>
      <c r="F325" s="22"/>
      <c r="G325" s="16" t="str">
        <f t="shared" si="72"/>
        <v>Þús. tonn CO₂-íg. | kt CO₂e</v>
      </c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5">
        <f t="shared" ref="AQ325:BU325" si="73">AQ$326-SUM(AQ$321:AQ$324)</f>
        <v>34.74687975625875</v>
      </c>
      <c r="AR325" s="15">
        <f t="shared" si="73"/>
        <v>34.88666458517946</v>
      </c>
      <c r="AS325" s="15">
        <f t="shared" si="73"/>
        <v>33.85326857310065</v>
      </c>
      <c r="AT325" s="15">
        <f t="shared" si="73"/>
        <v>34.018409590683405</v>
      </c>
      <c r="AU325" s="15">
        <f t="shared" si="73"/>
        <v>32.991343334885642</v>
      </c>
      <c r="AV325" s="15">
        <f>AV$326-SUM(AV$321:AV$324)</f>
        <v>34.592016513448471</v>
      </c>
      <c r="AW325" s="15">
        <f t="shared" si="73"/>
        <v>34.641029559126764</v>
      </c>
      <c r="AX325" s="15">
        <f t="shared" si="73"/>
        <v>35.998671825444035</v>
      </c>
      <c r="AY325" s="15">
        <f t="shared" si="73"/>
        <v>36.395587364439962</v>
      </c>
      <c r="AZ325" s="15">
        <f t="shared" si="73"/>
        <v>37.752885196004172</v>
      </c>
      <c r="BA325" s="15">
        <f t="shared" si="73"/>
        <v>38.081751209809227</v>
      </c>
      <c r="BB325" s="15">
        <f t="shared" si="73"/>
        <v>39.060592246542001</v>
      </c>
      <c r="BC325" s="15">
        <f t="shared" si="73"/>
        <v>39.265769845741488</v>
      </c>
      <c r="BD325" s="15">
        <f t="shared" si="73"/>
        <v>40.336792558086017</v>
      </c>
      <c r="BE325" s="15">
        <f t="shared" si="73"/>
        <v>39.783525904284943</v>
      </c>
      <c r="BF325" s="15">
        <f t="shared" si="73"/>
        <v>39.765483086159293</v>
      </c>
      <c r="BG325" s="15">
        <f t="shared" si="73"/>
        <v>38.781443935187781</v>
      </c>
      <c r="BH325" s="15">
        <f t="shared" si="73"/>
        <v>38.157887231044697</v>
      </c>
      <c r="BI325" s="15">
        <f t="shared" si="73"/>
        <v>37.647231945939893</v>
      </c>
      <c r="BJ325" s="15">
        <f t="shared" si="73"/>
        <v>36.68359852633057</v>
      </c>
      <c r="BK325" s="15">
        <f t="shared" si="73"/>
        <v>35.930948571763111</v>
      </c>
      <c r="BL325" s="15">
        <f t="shared" si="73"/>
        <v>34.574065850800253</v>
      </c>
      <c r="BM325" s="15">
        <f t="shared" si="73"/>
        <v>32.314409811318001</v>
      </c>
      <c r="BN325" s="15">
        <f t="shared" si="73"/>
        <v>32.655567106788112</v>
      </c>
      <c r="BO325" s="15">
        <f t="shared" si="73"/>
        <v>30.0098678923232</v>
      </c>
      <c r="BP325" s="15">
        <f t="shared" si="73"/>
        <v>30.303934325002047</v>
      </c>
      <c r="BQ325" s="15">
        <f t="shared" si="73"/>
        <v>27.440186050198463</v>
      </c>
      <c r="BR325" s="15">
        <f t="shared" si="73"/>
        <v>28.056277092252458</v>
      </c>
      <c r="BS325" s="15">
        <f t="shared" si="73"/>
        <v>25.312964282808935</v>
      </c>
      <c r="BT325" s="15">
        <f t="shared" si="73"/>
        <v>24.93736906238064</v>
      </c>
      <c r="BU325" s="15">
        <f t="shared" si="73"/>
        <v>22.718380074227753</v>
      </c>
    </row>
    <row r="326" spans="1:73" s="112" customFormat="1" ht="18" customHeight="1" x14ac:dyDescent="0.4">
      <c r="A326" s="108" t="s">
        <v>45</v>
      </c>
      <c r="B326" s="354" t="str">
        <f t="shared" si="71"/>
        <v>4. LULUCFkt CO2-eq WEM</v>
      </c>
      <c r="C326" s="115" t="s">
        <v>48</v>
      </c>
      <c r="D326" s="22" t="s">
        <v>135</v>
      </c>
      <c r="E326" s="22"/>
      <c r="F326" s="22"/>
      <c r="G326" s="23" t="str">
        <f t="shared" si="72"/>
        <v>Þús. tonn CO₂-íg. | kt CO₂e</v>
      </c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22">
        <v>6249.6863533814349</v>
      </c>
      <c r="AR326" s="22">
        <v>6227.7967635500681</v>
      </c>
      <c r="AS326" s="22">
        <v>6204.2400107653002</v>
      </c>
      <c r="AT326" s="22">
        <v>6179.840341275858</v>
      </c>
      <c r="AU326" s="22">
        <v>6150.0176220246922</v>
      </c>
      <c r="AV326" s="22">
        <v>6125.7077776084025</v>
      </c>
      <c r="AW326" s="22">
        <v>6095.1775721742051</v>
      </c>
      <c r="AX326" s="22">
        <v>6064.7701417670996</v>
      </c>
      <c r="AY326" s="22">
        <v>6032.2800684581853</v>
      </c>
      <c r="AZ326" s="22">
        <v>6004.2116429620701</v>
      </c>
      <c r="BA326" s="22">
        <v>5982.5436299669618</v>
      </c>
      <c r="BB326" s="22">
        <v>5954.8134007777662</v>
      </c>
      <c r="BC326" s="22">
        <v>5957.4270600109676</v>
      </c>
      <c r="BD326" s="22">
        <v>5926.1323214150907</v>
      </c>
      <c r="BE326" s="22">
        <v>5889.1076859943687</v>
      </c>
      <c r="BF326" s="22">
        <v>5853.6971738235552</v>
      </c>
      <c r="BG326" s="22">
        <v>5804.252582649332</v>
      </c>
      <c r="BH326" s="22">
        <v>5752.7101261713688</v>
      </c>
      <c r="BI326" s="22">
        <v>5694.3938085776917</v>
      </c>
      <c r="BJ326" s="22">
        <v>5629.5255279295861</v>
      </c>
      <c r="BK326" s="22">
        <v>5569.1141567205041</v>
      </c>
      <c r="BL326" s="22">
        <v>5497.1122445964811</v>
      </c>
      <c r="BM326" s="22">
        <v>5421.9758711621362</v>
      </c>
      <c r="BN326" s="22">
        <v>5349.4493832856297</v>
      </c>
      <c r="BO326" s="22">
        <v>5268.6243560281873</v>
      </c>
      <c r="BP326" s="22">
        <v>5184.2505517841055</v>
      </c>
      <c r="BQ326" s="22">
        <v>5091.4451758713849</v>
      </c>
      <c r="BR326" s="22">
        <v>5008.5249900369499</v>
      </c>
      <c r="BS326" s="22">
        <v>4917.9161011660144</v>
      </c>
      <c r="BT326" s="22">
        <v>4828.4994498210281</v>
      </c>
      <c r="BU326" s="22">
        <v>4742.5596922296954</v>
      </c>
    </row>
    <row r="327" spans="1:73" s="8" customFormat="1" x14ac:dyDescent="0.4">
      <c r="A327" s="108"/>
      <c r="B327" s="114"/>
      <c r="C327" s="144"/>
    </row>
    <row r="328" spans="1:73" s="8" customFormat="1" ht="15" customHeight="1" x14ac:dyDescent="0.4">
      <c r="A328" s="108"/>
      <c r="B328" s="114"/>
      <c r="C328" s="117"/>
    </row>
    <row r="329" spans="1:73" x14ac:dyDescent="0.4">
      <c r="AE329" s="183"/>
    </row>
  </sheetData>
  <mergeCells count="1">
    <mergeCell ref="D214:G214"/>
  </mergeCells>
  <conditionalFormatting sqref="A120:B127 A220:B220 D220:XFD220 A296:XFD1048576">
    <cfRule type="cellIs" dxfId="39" priority="268" operator="equal">
      <formula>0</formula>
    </cfRule>
  </conditionalFormatting>
  <conditionalFormatting sqref="A22:D22 H22:BF22 C120:H120 H120:XFD127 D121:H126 C121:C127 D127:G127 BH179:BV179 BX179:XFD179 A179:BG187 BH180:XFD187">
    <cfRule type="cellIs" dxfId="38" priority="416" operator="equal">
      <formula>0</formula>
    </cfRule>
  </conditionalFormatting>
  <conditionalFormatting sqref="A35:AW35">
    <cfRule type="cellIs" dxfId="37" priority="11" operator="equal">
      <formula>0</formula>
    </cfRule>
  </conditionalFormatting>
  <conditionalFormatting sqref="A46:BF48 BG46:XFD60 C49:BF60 A49:A63 BW284:XFD293 BV294:XFD295">
    <cfRule type="cellIs" dxfId="36" priority="287" operator="equal">
      <formula>0</formula>
    </cfRule>
  </conditionalFormatting>
  <conditionalFormatting sqref="A1:XFD20 A21:BF21 BG21:XFD22 A23:XFD34 A63:XFD119 A188:XFD219 H239:XFD239 A239:G245 AQ244:XFD245 A263:XFD283 A284:BU295 A247:G261">
    <cfRule type="cellIs" dxfId="35" priority="105" operator="equal">
      <formula>0</formula>
    </cfRule>
  </conditionalFormatting>
  <conditionalFormatting sqref="A128:XFD178">
    <cfRule type="cellIs" dxfId="34" priority="4" operator="equal">
      <formula>0</formula>
    </cfRule>
  </conditionalFormatting>
  <conditionalFormatting sqref="A221:XFD237">
    <cfRule type="cellIs" dxfId="33" priority="1" operator="equal">
      <formula>0</formula>
    </cfRule>
  </conditionalFormatting>
  <conditionalFormatting sqref="C61:XFD63">
    <cfRule type="cellIs" dxfId="32" priority="19" operator="equal">
      <formula>0</formula>
    </cfRule>
  </conditionalFormatting>
  <conditionalFormatting sqref="H46:H47">
    <cfRule type="cellIs" dxfId="31" priority="502" operator="equal">
      <formula>1</formula>
    </cfRule>
  </conditionalFormatting>
  <conditionalFormatting sqref="H81:H82">
    <cfRule type="cellIs" dxfId="30" priority="501" operator="equal">
      <formula>1</formula>
    </cfRule>
  </conditionalFormatting>
  <conditionalFormatting sqref="H107:H108">
    <cfRule type="cellIs" dxfId="29" priority="500" operator="equal">
      <formula>1</formula>
    </cfRule>
  </conditionalFormatting>
  <conditionalFormatting sqref="H130">
    <cfRule type="cellIs" dxfId="28" priority="499" operator="equal">
      <formula>1</formula>
    </cfRule>
  </conditionalFormatting>
  <conditionalFormatting sqref="H180">
    <cfRule type="cellIs" dxfId="27" priority="498" operator="equal">
      <formula>1</formula>
    </cfRule>
  </conditionalFormatting>
  <conditionalFormatting sqref="H198">
    <cfRule type="cellIs" dxfId="26" priority="497" operator="equal">
      <formula>1</formula>
    </cfRule>
  </conditionalFormatting>
  <conditionalFormatting sqref="H214">
    <cfRule type="cellIs" dxfId="25" priority="496" operator="equal">
      <formula>1</formula>
    </cfRule>
  </conditionalFormatting>
  <conditionalFormatting sqref="H230 J230 L230 N230 P230 R230 T230 V230:W230">
    <cfRule type="cellIs" dxfId="24" priority="495" operator="equal">
      <formula>1</formula>
    </cfRule>
  </conditionalFormatting>
  <conditionalFormatting sqref="H94:AO94">
    <cfRule type="cellIs" dxfId="23" priority="485" operator="equal">
      <formula>1</formula>
    </cfRule>
  </conditionalFormatting>
  <conditionalFormatting sqref="H106:AO106 H196:AO196 H212:AP212 H224:AP226 W282:AO282">
    <cfRule type="cellIs" dxfId="22" priority="209" operator="equal">
      <formula>1</formula>
    </cfRule>
  </conditionalFormatting>
  <conditionalFormatting sqref="H188:AO188">
    <cfRule type="cellIs" dxfId="21" priority="484" operator="equal">
      <formula>1</formula>
    </cfRule>
  </conditionalFormatting>
  <conditionalFormatting sqref="H205:AO210 AP207:AP210">
    <cfRule type="cellIs" dxfId="20" priority="483" operator="equal">
      <formula>1</formula>
    </cfRule>
  </conditionalFormatting>
  <conditionalFormatting sqref="H219:AO222 AP221:BU223 AO222:AO223">
    <cfRule type="cellIs" dxfId="19" priority="482" operator="equal">
      <formula>1</formula>
    </cfRule>
  </conditionalFormatting>
  <conditionalFormatting sqref="H183:AP187">
    <cfRule type="cellIs" dxfId="18" priority="531" operator="equal">
      <formula>0</formula>
    </cfRule>
  </conditionalFormatting>
  <conditionalFormatting sqref="H240:AP245">
    <cfRule type="cellIs" dxfId="17" priority="52" operator="equal">
      <formula>0</formula>
    </cfRule>
  </conditionalFormatting>
  <conditionalFormatting sqref="H247:XFD261">
    <cfRule type="cellIs" dxfId="16" priority="57" operator="equal">
      <formula>0</formula>
    </cfRule>
  </conditionalFormatting>
  <conditionalFormatting sqref="W248">
    <cfRule type="cellIs" dxfId="15" priority="494" operator="equal">
      <formula>1</formula>
    </cfRule>
  </conditionalFormatting>
  <conditionalFormatting sqref="W267">
    <cfRule type="cellIs" dxfId="14" priority="493" operator="equal">
      <formula>1</formula>
    </cfRule>
  </conditionalFormatting>
  <conditionalFormatting sqref="W297">
    <cfRule type="cellIs" dxfId="13" priority="492" operator="equal">
      <formula>1</formula>
    </cfRule>
  </conditionalFormatting>
  <conditionalFormatting sqref="W311">
    <cfRule type="cellIs" dxfId="12" priority="490" operator="equal">
      <formula>1</formula>
    </cfRule>
  </conditionalFormatting>
  <conditionalFormatting sqref="W255:AL256 AN255:AO256">
    <cfRule type="cellIs" dxfId="11" priority="480" operator="equal">
      <formula>1</formula>
    </cfRule>
  </conditionalFormatting>
  <conditionalFormatting sqref="W313:AP318">
    <cfRule type="cellIs" dxfId="10" priority="346" operator="equal">
      <formula>0</formula>
    </cfRule>
  </conditionalFormatting>
  <conditionalFormatting sqref="AE329">
    <cfRule type="cellIs" dxfId="9" priority="22" operator="equal">
      <formula>1</formula>
    </cfRule>
  </conditionalFormatting>
  <conditionalFormatting sqref="AP21:BU21">
    <cfRule type="cellIs" dxfId="8" priority="431" operator="equal">
      <formula>1</formula>
    </cfRule>
  </conditionalFormatting>
  <conditionalFormatting sqref="AP194:BU194">
    <cfRule type="cellIs" dxfId="7" priority="404" operator="equal">
      <formula>0</formula>
    </cfRule>
  </conditionalFormatting>
  <conditionalFormatting sqref="AP321:BU326">
    <cfRule type="cellIs" dxfId="6" priority="344" operator="equal">
      <formula>0</formula>
    </cfRule>
  </conditionalFormatting>
  <conditionalFormatting sqref="AQ36:BU36 BW36:XFD36 A36:AP45 AQ37:XFD45 BV283:BV293">
    <cfRule type="cellIs" dxfId="5" priority="30" operator="equal">
      <formula>0</formula>
    </cfRule>
  </conditionalFormatting>
  <conditionalFormatting sqref="AQ240:BU243">
    <cfRule type="cellIs" dxfId="4" priority="82" operator="equal">
      <formula>0</formula>
    </cfRule>
  </conditionalFormatting>
  <conditionalFormatting sqref="AQ283:BU292">
    <cfRule type="cellIs" dxfId="3" priority="439" operator="equal">
      <formula>1</formula>
    </cfRule>
  </conditionalFormatting>
  <conditionalFormatting sqref="AQ294:BU295">
    <cfRule type="cellIs" dxfId="2" priority="479" operator="equal">
      <formula>1</formula>
    </cfRule>
  </conditionalFormatting>
  <conditionalFormatting sqref="AY35:XFD35">
    <cfRule type="cellIs" dxfId="1" priority="251" operator="equal">
      <formula>0</formula>
    </cfRule>
  </conditionalFormatting>
  <conditionalFormatting sqref="BV240:XFD241 AQ242:XFD242 BV243:XFD243">
    <cfRule type="cellIs" dxfId="0" priority="368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Upplýsingar | Information</vt:lpstr>
      <vt:lpstr>Skuldbindingar | Obligations</vt:lpstr>
      <vt:lpstr>Losun | Emissions</vt:lpstr>
      <vt:lpstr>Talnagögn | Numerical Data</vt:lpstr>
      <vt:lpstr>°B1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Chanee Jónsdóttir Thianthong</dc:creator>
  <cp:lastModifiedBy>Chanee Jónsdóttir Thianthong - UOS</cp:lastModifiedBy>
  <dcterms:created xsi:type="dcterms:W3CDTF">2023-07-06T14:35:34Z</dcterms:created>
  <dcterms:modified xsi:type="dcterms:W3CDTF">2025-08-25T16:54:33Z</dcterms:modified>
</cp:coreProperties>
</file>